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680" yWindow="120" windowWidth="23805" windowHeight="10095"/>
  </bookViews>
  <sheets>
    <sheet name="CORRECTED.HIST.ROUNDED.CY.PRO" sheetId="2" r:id="rId1"/>
  </sheets>
  <definedNames>
    <definedName name="_xlnm.Print_Titles" localSheetId="0">CORRECTED.HIST.ROUNDED.CY.PRO!$1:$5</definedName>
  </definedNames>
  <calcPr calcId="145621"/>
</workbook>
</file>

<file path=xl/calcChain.xml><?xml version="1.0" encoding="utf-8"?>
<calcChain xmlns="http://schemas.openxmlformats.org/spreadsheetml/2006/main">
  <c r="I12" i="2" l="1"/>
  <c r="D12" i="2"/>
  <c r="E12" i="2"/>
  <c r="F12" i="2"/>
  <c r="G12" i="2"/>
  <c r="H12" i="2"/>
  <c r="C12" i="2"/>
  <c r="D10" i="2"/>
  <c r="E10" i="2"/>
  <c r="F10" i="2"/>
  <c r="G10" i="2"/>
  <c r="H10" i="2"/>
  <c r="I10" i="2"/>
  <c r="C10" i="2"/>
  <c r="I8" i="2"/>
  <c r="H8" i="2"/>
  <c r="G8" i="2"/>
  <c r="F8" i="2"/>
  <c r="E8" i="2"/>
  <c r="D8" i="2"/>
  <c r="C8" i="2"/>
  <c r="C6" i="2"/>
  <c r="D6" i="2"/>
  <c r="E6" i="2"/>
  <c r="F6" i="2"/>
  <c r="G6" i="2"/>
  <c r="H6" i="2"/>
  <c r="I6" i="2"/>
  <c r="I111" i="2"/>
  <c r="I110" i="2"/>
  <c r="C109" i="2" l="1"/>
  <c r="I109" i="2" l="1"/>
  <c r="G109" i="2"/>
  <c r="F109" i="2"/>
  <c r="E109" i="2"/>
  <c r="D109" i="2"/>
  <c r="C7" i="2" l="1"/>
  <c r="C14" i="2"/>
  <c r="I108" i="2"/>
  <c r="G108" i="2"/>
  <c r="F108" i="2"/>
  <c r="E108" i="2"/>
  <c r="D108" i="2"/>
  <c r="C108" i="2"/>
  <c r="C102" i="2" l="1"/>
  <c r="F103" i="2"/>
  <c r="C103" i="2"/>
  <c r="D104" i="2"/>
  <c r="C104" i="2"/>
  <c r="C105" i="2"/>
  <c r="C106" i="2"/>
  <c r="G107" i="2"/>
  <c r="F107" i="2"/>
  <c r="E107" i="2"/>
  <c r="D107" i="2"/>
  <c r="C107" i="2"/>
  <c r="I107" i="2" l="1"/>
  <c r="G106" i="2"/>
  <c r="G105" i="2"/>
  <c r="G104" i="2"/>
  <c r="G103" i="2"/>
  <c r="G102" i="2"/>
  <c r="E106" i="2"/>
  <c r="E105" i="2"/>
  <c r="E104" i="2"/>
  <c r="E103" i="2"/>
  <c r="E102" i="2"/>
  <c r="D106" i="2"/>
  <c r="D105" i="2"/>
  <c r="D103" i="2"/>
  <c r="D102" i="2"/>
  <c r="E99" i="2"/>
  <c r="D99" i="2"/>
  <c r="F106" i="2"/>
  <c r="F105" i="2"/>
  <c r="F104" i="2"/>
  <c r="F102" i="2"/>
  <c r="F101" i="2"/>
  <c r="I101" i="2" s="1"/>
  <c r="F100" i="2"/>
  <c r="I100" i="2" s="1"/>
  <c r="F99" i="2"/>
  <c r="F98" i="2"/>
  <c r="I98" i="2" s="1"/>
  <c r="F97" i="2"/>
  <c r="F96" i="2"/>
  <c r="I96" i="2" s="1"/>
  <c r="F95" i="2"/>
  <c r="I95" i="2" s="1"/>
  <c r="F94" i="2"/>
  <c r="I94" i="2" s="1"/>
  <c r="F93" i="2"/>
  <c r="F92" i="2"/>
  <c r="F91" i="2"/>
  <c r="F90" i="2"/>
  <c r="F89" i="2"/>
  <c r="I89" i="2" s="1"/>
  <c r="F88" i="2"/>
  <c r="I88" i="2" s="1"/>
  <c r="F87" i="2"/>
  <c r="F86" i="2"/>
  <c r="I86" i="2" s="1"/>
  <c r="F85" i="2"/>
  <c r="F84" i="2"/>
  <c r="F83" i="2"/>
  <c r="F82" i="2"/>
  <c r="F81" i="2"/>
  <c r="F80" i="2"/>
  <c r="F79" i="2"/>
  <c r="F78" i="2"/>
  <c r="F77" i="2"/>
  <c r="I103" i="2"/>
  <c r="I97" i="2"/>
  <c r="G93" i="2"/>
  <c r="G92" i="2"/>
  <c r="G91" i="2"/>
  <c r="G90" i="2"/>
  <c r="G87" i="2"/>
  <c r="G85" i="2"/>
  <c r="I84" i="2"/>
  <c r="G83" i="2"/>
  <c r="I83" i="2" s="1"/>
  <c r="I82" i="2"/>
  <c r="I81" i="2"/>
  <c r="I80" i="2"/>
  <c r="I79" i="2"/>
  <c r="I78" i="2"/>
  <c r="I77" i="2"/>
  <c r="I76" i="2"/>
  <c r="G75" i="2"/>
  <c r="I75" i="2" s="1"/>
  <c r="I74" i="2"/>
  <c r="G73" i="2"/>
  <c r="I73" i="2" s="1"/>
  <c r="G72" i="2"/>
  <c r="I72" i="2" s="1"/>
  <c r="G71" i="2"/>
  <c r="I71" i="2" s="1"/>
  <c r="G70" i="2"/>
  <c r="I70" i="2" s="1"/>
  <c r="I69" i="2"/>
  <c r="G68" i="2"/>
  <c r="I68" i="2" s="1"/>
  <c r="I67" i="2"/>
  <c r="G66" i="2"/>
  <c r="I66" i="2" s="1"/>
  <c r="I65" i="2"/>
  <c r="I64" i="2"/>
  <c r="G64" i="2"/>
  <c r="I63" i="2"/>
  <c r="G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2" i="2"/>
  <c r="H23" i="2" s="1"/>
  <c r="H22" i="2"/>
  <c r="G22" i="2"/>
  <c r="G23" i="2" s="1"/>
  <c r="F22" i="2"/>
  <c r="E22" i="2"/>
  <c r="E23" i="2" s="1"/>
  <c r="D22" i="2"/>
  <c r="C22" i="2"/>
  <c r="C23" i="2" s="1"/>
  <c r="H20" i="2"/>
  <c r="F20" i="2"/>
  <c r="E20" i="2"/>
  <c r="D20" i="2"/>
  <c r="C20" i="2"/>
  <c r="H18" i="2"/>
  <c r="G18" i="2"/>
  <c r="E18" i="2"/>
  <c r="D18" i="2"/>
  <c r="C18" i="2"/>
  <c r="H16" i="2"/>
  <c r="G16" i="2"/>
  <c r="E16" i="2"/>
  <c r="D16" i="2"/>
  <c r="C16" i="2"/>
  <c r="H14" i="2"/>
  <c r="G14" i="2"/>
  <c r="F14" i="2"/>
  <c r="E14" i="2"/>
  <c r="D14" i="2"/>
  <c r="I85" i="2" l="1"/>
  <c r="I99" i="2"/>
  <c r="I105" i="2"/>
  <c r="I102" i="2"/>
  <c r="I106" i="2"/>
  <c r="E7" i="2" s="1"/>
  <c r="I104" i="2"/>
  <c r="I93" i="2"/>
  <c r="I92" i="2"/>
  <c r="I91" i="2"/>
  <c r="I90" i="2"/>
  <c r="I87" i="2"/>
  <c r="F16" i="2"/>
  <c r="F18" i="2"/>
  <c r="I18" i="2"/>
  <c r="E19" i="2" s="1"/>
  <c r="H19" i="2"/>
  <c r="I20" i="2"/>
  <c r="H21" i="2" s="1"/>
  <c r="G20" i="2"/>
  <c r="G21" i="2" s="1"/>
  <c r="D23" i="2"/>
  <c r="F23" i="2"/>
  <c r="I16" i="2" l="1"/>
  <c r="G17" i="2" s="1"/>
  <c r="F21" i="2"/>
  <c r="G7" i="2"/>
  <c r="H7" i="2"/>
  <c r="D7" i="2"/>
  <c r="F7" i="2"/>
  <c r="H9" i="2"/>
  <c r="F13" i="2"/>
  <c r="G11" i="2"/>
  <c r="I14" i="2"/>
  <c r="C15" i="2" s="1"/>
  <c r="F17" i="2"/>
  <c r="E17" i="2"/>
  <c r="H17" i="2"/>
  <c r="D17" i="2"/>
  <c r="C17" i="2"/>
  <c r="D19" i="2"/>
  <c r="C19" i="2"/>
  <c r="F19" i="2"/>
  <c r="G19" i="2"/>
  <c r="E21" i="2"/>
  <c r="C21" i="2"/>
  <c r="D21" i="2"/>
  <c r="E9" i="2" l="1"/>
  <c r="C11" i="2"/>
  <c r="D9" i="2"/>
  <c r="G9" i="2"/>
  <c r="D13" i="2"/>
  <c r="F11" i="2"/>
  <c r="D11" i="2"/>
  <c r="F9" i="2"/>
  <c r="C9" i="2"/>
  <c r="G13" i="2"/>
  <c r="C13" i="2"/>
  <c r="E13" i="2"/>
  <c r="E11" i="2"/>
  <c r="H11" i="2"/>
  <c r="F15" i="2"/>
  <c r="H15" i="2"/>
  <c r="G15" i="2"/>
  <c r="D15" i="2"/>
  <c r="E15" i="2"/>
</calcChain>
</file>

<file path=xl/comments1.xml><?xml version="1.0" encoding="utf-8"?>
<comments xmlns="http://schemas.openxmlformats.org/spreadsheetml/2006/main">
  <authors>
    <author>City of Ventura</author>
    <author>admin1</author>
  </authors>
  <commentList>
    <comment ref="C87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was 1622 now 1649 as of 7/7/09</t>
        </r>
      </text>
    </comment>
    <comment ref="C88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value changed from 4456 to 4401 as of 7/7/09</t>
        </r>
      </text>
    </comment>
    <comment ref="D88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was 7904 now 7925.77 7/7/09</t>
        </r>
      </text>
    </comment>
    <comment ref="G88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was 1588 now 1599.15 as of 7/7/09</t>
        </r>
      </text>
    </comment>
    <comment ref="C89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revised value from 7089 to 7109 on 7/7/09</t>
        </r>
      </text>
    </comment>
    <comment ref="C90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adjusted on 7/7/09 to revised number from 4328 to 4352</t>
        </r>
      </text>
    </comment>
    <comment ref="I91" authorId="1">
      <text>
        <r>
          <rPr>
            <b/>
            <sz val="8"/>
            <color indexed="81"/>
            <rFont val="Tahoma"/>
            <family val="2"/>
          </rPr>
          <t>admin1:</t>
        </r>
        <r>
          <rPr>
            <sz val="8"/>
            <color indexed="81"/>
            <rFont val="Tahoma"/>
            <family val="2"/>
          </rPr>
          <t xml:space="preserve">
Data was 20,725.00 now 20,703 11/8/10</t>
        </r>
      </text>
    </comment>
    <comment ref="I98" authorId="1">
      <text>
        <r>
          <rPr>
            <b/>
            <sz val="8"/>
            <color indexed="81"/>
            <rFont val="Tahoma"/>
            <family val="2"/>
          </rPr>
          <t>admin1:</t>
        </r>
        <r>
          <rPr>
            <sz val="8"/>
            <color indexed="81"/>
            <rFont val="Tahoma"/>
            <family val="2"/>
          </rPr>
          <t xml:space="preserve">
Original data was 18,160.  Changed to 18,149 on 11/8/10</t>
        </r>
      </text>
    </comment>
    <comment ref="I99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total value changed as of 7/7/09</t>
        </r>
      </text>
    </comment>
    <comment ref="I101" authorId="0">
      <text>
        <r>
          <rPr>
            <b/>
            <sz val="8"/>
            <color indexed="81"/>
            <rFont val="Tahoma"/>
            <family val="2"/>
          </rPr>
          <t>City of Ventura:</t>
        </r>
        <r>
          <rPr>
            <sz val="8"/>
            <color indexed="81"/>
            <rFont val="Tahoma"/>
            <family val="2"/>
          </rPr>
          <t xml:space="preserve">
original data as of 3/17/10 was 18286.  Now new data as of 11/8/10 is 17,408</t>
        </r>
      </text>
    </comment>
  </commentList>
</comments>
</file>

<file path=xl/sharedStrings.xml><?xml version="1.0" encoding="utf-8"?>
<sst xmlns="http://schemas.openxmlformats.org/spreadsheetml/2006/main" count="49" uniqueCount="39">
  <si>
    <t>Surface Water</t>
  </si>
  <si>
    <t>Groundwater</t>
  </si>
  <si>
    <t>Ventura</t>
  </si>
  <si>
    <t xml:space="preserve">Mound </t>
  </si>
  <si>
    <t>Oxnard</t>
  </si>
  <si>
    <t>Santa Paula</t>
  </si>
  <si>
    <t>Calendar Year</t>
  </si>
  <si>
    <t>Casitas</t>
  </si>
  <si>
    <t>River</t>
  </si>
  <si>
    <t>Basin</t>
  </si>
  <si>
    <t>Plain Basin</t>
  </si>
  <si>
    <t>Other</t>
  </si>
  <si>
    <t>TOTAL</t>
  </si>
  <si>
    <t>AVERAGE LAST 3 YEARS</t>
  </si>
  <si>
    <t>AVERAGE LAST 5 YEARS</t>
  </si>
  <si>
    <t>AVERAGE LAST 10 YEARS</t>
  </si>
  <si>
    <t>AVERAGE 2000-2009</t>
  </si>
  <si>
    <t>AVERAGE 1990-1999</t>
  </si>
  <si>
    <t>AVERAGE 1980-1989</t>
  </si>
  <si>
    <t>AVERAGE 1970-1979</t>
  </si>
  <si>
    <t>AVERAGE 1960-1969</t>
  </si>
  <si>
    <t>Note: Production numbers do not include Saticoy Country Club Data as they are reported on a seperate permit. - Per A. Moser</t>
  </si>
  <si>
    <t>Production numbers taken from Water Production Metering Source Report</t>
  </si>
  <si>
    <t xml:space="preserve">                      Error reflected in the month of July 2007 and July 2010</t>
  </si>
  <si>
    <t>Note: 3/27/13 - 2007 - Ventura River Historical Adjustment to 1,999.77 from 1,966.00</t>
  </si>
  <si>
    <t xml:space="preserve">                      2007 - Mound Basin Historical Adjustment to 3,520.78 from 3,428.00</t>
  </si>
  <si>
    <t xml:space="preserve">                      2007 - Oxnard Basin Historical Adjustment to 5,442.82 from 5,314.00</t>
  </si>
  <si>
    <t xml:space="preserve">                      2010 - Santa Paula Basin Historical Adjustment to 496.21 from 402.00</t>
  </si>
  <si>
    <t xml:space="preserve">                      2005 - Oxnard Basin Historical Adjustment to 5,379.00 from 4,728.00</t>
  </si>
  <si>
    <t>Historical Production numbers for Oxnard Basin reflect the FOX GMA extraction report (Corrected 1/28/15)</t>
  </si>
  <si>
    <t>HISTORICAL WATER PRODUCTION IN ACRE FEET - WITH CORRECTIONS AND ROUNDED</t>
  </si>
  <si>
    <t>FOX GMA</t>
  </si>
  <si>
    <t>Note: 2/10/16 - 2012 Ventura River Historical Adjustment to 3540.20 from 3316.00</t>
  </si>
  <si>
    <t>[1]</t>
  </si>
  <si>
    <t xml:space="preserve">                    2015 - Mandatory Stage 3 Conservation Measures and Drought Rates reflect production reduction</t>
  </si>
  <si>
    <t xml:space="preserve">                    [1] - Data includes Casitas Direct Accounts from CY 2010 forward; This Adjusted Total Value</t>
  </si>
  <si>
    <t>Note: 2017 - Thomas Fire Dec 4 thru Dec 15 2017 - Boil Order lifted Dec 12, 2017</t>
  </si>
  <si>
    <t xml:space="preserve">                   Correction for CMWD#1&amp;2 was made in Dec.2017 on Production Report (Was 218.11 - Now 201.87)</t>
  </si>
  <si>
    <t>Last Year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</si>
</sst>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4" fontId="1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center"/>
    </xf>
    <xf numFmtId="4" fontId="1" fillId="2" borderId="0" xfId="0" applyNumberFormat="1" applyFont="1" applyFill="1" applyAlignment="1">
      <alignment horizontal="right"/>
    </xf>
    <xf numFmtId="4" fontId="2" fillId="2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right"/>
    </xf>
    <xf numFmtId="4" fontId="2" fillId="0" borderId="4" xfId="0" applyNumberFormat="1" applyFont="1" applyFill="1" applyBorder="1" applyAlignment="1">
      <alignment horizontal="right"/>
    </xf>
    <xf numFmtId="0" fontId="0" fillId="0" borderId="5" xfId="0" applyFill="1" applyBorder="1" applyAlignment="1">
      <alignment horizontal="right"/>
    </xf>
    <xf numFmtId="9" fontId="2" fillId="0" borderId="1" xfId="1" applyFont="1" applyFill="1" applyBorder="1" applyAlignment="1">
      <alignment horizontal="right"/>
    </xf>
    <xf numFmtId="4" fontId="1" fillId="0" borderId="6" xfId="0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right"/>
    </xf>
    <xf numFmtId="4" fontId="2" fillId="2" borderId="4" xfId="0" applyNumberFormat="1" applyFont="1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9" fontId="1" fillId="2" borderId="1" xfId="1" applyFont="1" applyFill="1" applyBorder="1" applyAlignment="1">
      <alignment horizontal="right"/>
    </xf>
    <xf numFmtId="4" fontId="1" fillId="2" borderId="6" xfId="0" applyNumberFormat="1" applyFont="1" applyFill="1" applyBorder="1" applyAlignment="1">
      <alignment horizontal="right"/>
    </xf>
    <xf numFmtId="0" fontId="0" fillId="0" borderId="2" xfId="0" applyBorder="1" applyAlignment="1">
      <alignment horizontal="right"/>
    </xf>
    <xf numFmtId="4" fontId="1" fillId="0" borderId="3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0" fontId="0" fillId="0" borderId="5" xfId="0" applyBorder="1" applyAlignment="1">
      <alignment horizontal="right"/>
    </xf>
    <xf numFmtId="9" fontId="1" fillId="0" borderId="1" xfId="1" applyFont="1" applyFill="1" applyBorder="1" applyAlignment="1">
      <alignment horizontal="right"/>
    </xf>
    <xf numFmtId="4" fontId="1" fillId="0" borderId="6" xfId="0" applyNumberFormat="1" applyFont="1" applyBorder="1" applyAlignment="1">
      <alignment horizontal="right"/>
    </xf>
    <xf numFmtId="0" fontId="0" fillId="2" borderId="2" xfId="0" applyFill="1" applyBorder="1" applyAlignment="1">
      <alignment horizontal="right"/>
    </xf>
    <xf numFmtId="4" fontId="1" fillId="2" borderId="3" xfId="0" applyNumberFormat="1" applyFont="1" applyFill="1" applyBorder="1" applyAlignment="1">
      <alignment horizontal="right"/>
    </xf>
    <xf numFmtId="4" fontId="1" fillId="2" borderId="4" xfId="0" applyNumberFormat="1" applyFont="1" applyFill="1" applyBorder="1" applyAlignment="1">
      <alignment horizontal="right"/>
    </xf>
    <xf numFmtId="0" fontId="0" fillId="2" borderId="5" xfId="0" applyFill="1" applyBorder="1" applyAlignment="1">
      <alignment horizontal="center"/>
    </xf>
    <xf numFmtId="4" fontId="0" fillId="2" borderId="1" xfId="0" applyNumberFormat="1" applyFill="1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ill="1" applyBorder="1" applyAlignment="1">
      <alignment horizontal="center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2" fillId="2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2" fillId="0" borderId="0" xfId="0" applyNumberFormat="1" applyFont="1" applyFill="1" applyAlignment="1"/>
    <xf numFmtId="4" fontId="1" fillId="0" borderId="3" xfId="0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Fill="1"/>
    <xf numFmtId="0" fontId="0" fillId="0" borderId="0" xfId="0" applyFill="1"/>
    <xf numFmtId="4" fontId="2" fillId="4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0" borderId="0" xfId="0" applyFont="1" applyAlignment="1">
      <alignment horizontal="center"/>
    </xf>
    <xf numFmtId="9" fontId="1" fillId="5" borderId="1" xfId="1" applyFont="1" applyFill="1" applyBorder="1" applyAlignment="1">
      <alignment horizontal="right"/>
    </xf>
    <xf numFmtId="4" fontId="1" fillId="5" borderId="3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tabSelected="1" zoomScaleNormal="100" workbookViewId="0">
      <pane ySplit="1260" activePane="bottomLeft"/>
      <selection activeCell="F3" sqref="F3:F4"/>
      <selection pane="bottomLeft" activeCell="R8" sqref="R8"/>
    </sheetView>
  </sheetViews>
  <sheetFormatPr defaultRowHeight="12.75" x14ac:dyDescent="0.2"/>
  <cols>
    <col min="1" max="1" width="24.42578125" style="1" customWidth="1"/>
    <col min="2" max="2" width="1.85546875" style="1" customWidth="1"/>
    <col min="3" max="4" width="11.85546875" style="2" bestFit="1" customWidth="1"/>
    <col min="5" max="5" width="11.5703125" style="41" bestFit="1" customWidth="1"/>
    <col min="6" max="6" width="11.28515625" style="50" bestFit="1" customWidth="1"/>
    <col min="7" max="7" width="12.140625" style="2" bestFit="1" customWidth="1"/>
    <col min="8" max="8" width="10.85546875" style="41" customWidth="1"/>
    <col min="9" max="9" width="15" style="2" customWidth="1"/>
    <col min="11" max="11" width="8.7109375" style="51"/>
  </cols>
  <sheetData>
    <row r="1" spans="1:9" x14ac:dyDescent="0.2">
      <c r="C1" s="46" t="s">
        <v>30</v>
      </c>
      <c r="D1" s="46"/>
      <c r="E1" s="46"/>
      <c r="F1" s="46"/>
      <c r="G1" s="46"/>
      <c r="H1" s="46"/>
    </row>
    <row r="2" spans="1:9" x14ac:dyDescent="0.2">
      <c r="C2" s="68" t="s">
        <v>0</v>
      </c>
      <c r="D2" s="68"/>
      <c r="E2" s="69" t="s">
        <v>1</v>
      </c>
      <c r="F2" s="69"/>
      <c r="G2" s="69"/>
      <c r="H2" s="69"/>
      <c r="I2" s="3"/>
    </row>
    <row r="3" spans="1:9" x14ac:dyDescent="0.2">
      <c r="C3" s="4"/>
      <c r="D3" s="5" t="s">
        <v>2</v>
      </c>
      <c r="E3" s="6" t="s">
        <v>3</v>
      </c>
      <c r="F3" s="52" t="s">
        <v>4</v>
      </c>
      <c r="G3" s="6" t="s">
        <v>5</v>
      </c>
      <c r="H3" s="6"/>
      <c r="I3" s="3"/>
    </row>
    <row r="4" spans="1:9" x14ac:dyDescent="0.2">
      <c r="A4" s="7" t="s">
        <v>6</v>
      </c>
      <c r="B4" s="7"/>
      <c r="C4" s="44" t="s">
        <v>7</v>
      </c>
      <c r="D4" s="44" t="s">
        <v>8</v>
      </c>
      <c r="E4" s="45" t="s">
        <v>9</v>
      </c>
      <c r="F4" s="53" t="s">
        <v>10</v>
      </c>
      <c r="G4" s="45" t="s">
        <v>9</v>
      </c>
      <c r="H4" s="45" t="s">
        <v>11</v>
      </c>
      <c r="I4" s="8" t="s">
        <v>12</v>
      </c>
    </row>
    <row r="5" spans="1:9" x14ac:dyDescent="0.2">
      <c r="A5" s="9"/>
      <c r="B5" s="9"/>
      <c r="C5" s="10"/>
      <c r="D5" s="10"/>
      <c r="E5" s="10"/>
      <c r="F5" s="10" t="s">
        <v>31</v>
      </c>
      <c r="G5" s="10"/>
      <c r="H5" s="10"/>
      <c r="I5" s="11"/>
    </row>
    <row r="6" spans="1:9" x14ac:dyDescent="0.2">
      <c r="A6" s="12" t="s">
        <v>38</v>
      </c>
      <c r="B6" s="54"/>
      <c r="C6" s="13">
        <f t="shared" ref="C6:I6" si="0">+C111</f>
        <v>1371.92</v>
      </c>
      <c r="D6" s="13">
        <f t="shared" si="0"/>
        <v>2588.39</v>
      </c>
      <c r="E6" s="13">
        <f t="shared" si="0"/>
        <v>3285.84</v>
      </c>
      <c r="F6" s="13">
        <f t="shared" si="0"/>
        <v>3322.78</v>
      </c>
      <c r="G6" s="13">
        <f t="shared" si="0"/>
        <v>2509.17</v>
      </c>
      <c r="H6" s="13">
        <f t="shared" si="0"/>
        <v>0</v>
      </c>
      <c r="I6" s="14">
        <f t="shared" si="0"/>
        <v>13078.1</v>
      </c>
    </row>
    <row r="7" spans="1:9" x14ac:dyDescent="0.2">
      <c r="A7" s="15"/>
      <c r="B7" s="55"/>
      <c r="C7" s="16">
        <f>+C6/I6</f>
        <v>0.10490208822382456</v>
      </c>
      <c r="D7" s="16">
        <f>+D6/I6</f>
        <v>0.19791789327195844</v>
      </c>
      <c r="E7" s="16">
        <f>+E6/I6</f>
        <v>0.25124750537157536</v>
      </c>
      <c r="F7" s="16">
        <f>+F6/I6</f>
        <v>0.25407207468974852</v>
      </c>
      <c r="G7" s="16">
        <f>+G6/I6</f>
        <v>0.19186043844289308</v>
      </c>
      <c r="H7" s="16">
        <f>+H6/I6</f>
        <v>0</v>
      </c>
      <c r="I7" s="17"/>
    </row>
    <row r="8" spans="1:9" x14ac:dyDescent="0.2">
      <c r="A8" s="18" t="s">
        <v>13</v>
      </c>
      <c r="B8" s="56"/>
      <c r="C8" s="19">
        <f t="shared" ref="C8:I8" si="1">AVERAGE(C109:C111)</f>
        <v>2092.04</v>
      </c>
      <c r="D8" s="19">
        <f t="shared" si="1"/>
        <v>2703.8266666666664</v>
      </c>
      <c r="E8" s="19">
        <f t="shared" si="1"/>
        <v>2403.9566666666669</v>
      </c>
      <c r="F8" s="19">
        <f t="shared" si="1"/>
        <v>3488.2366666666671</v>
      </c>
      <c r="G8" s="19">
        <f t="shared" si="1"/>
        <v>2732.6766666666667</v>
      </c>
      <c r="H8" s="19">
        <f t="shared" si="1"/>
        <v>0</v>
      </c>
      <c r="I8" s="20">
        <f t="shared" si="1"/>
        <v>13420.736666666666</v>
      </c>
    </row>
    <row r="9" spans="1:9" x14ac:dyDescent="0.2">
      <c r="A9" s="21"/>
      <c r="B9" s="57"/>
      <c r="C9" s="22">
        <f>+C8/I8</f>
        <v>0.15588116002574126</v>
      </c>
      <c r="D9" s="22">
        <f>+D8/I8</f>
        <v>0.20146633778920728</v>
      </c>
      <c r="E9" s="22">
        <f>+E8/I8</f>
        <v>0.1791225568591491</v>
      </c>
      <c r="F9" s="66">
        <f>+F8/I8</f>
        <v>0.25991394908525889</v>
      </c>
      <c r="G9" s="22">
        <f>+G8/I8</f>
        <v>0.20361599624064353</v>
      </c>
      <c r="H9" s="22">
        <f>+H8/I8</f>
        <v>0</v>
      </c>
      <c r="I9" s="23"/>
    </row>
    <row r="10" spans="1:9" x14ac:dyDescent="0.2">
      <c r="A10" s="24" t="s">
        <v>14</v>
      </c>
      <c r="B10" s="58"/>
      <c r="C10" s="25">
        <f>AVERAGE(C107:C111)</f>
        <v>2751.6240000000003</v>
      </c>
      <c r="D10" s="25">
        <f>AVERAGE(D107:D111)</f>
        <v>2251.6959999999999</v>
      </c>
      <c r="E10" s="25">
        <f t="shared" ref="E10:I10" si="2">AVERAGE(E107:E111)</f>
        <v>2440.9740000000002</v>
      </c>
      <c r="F10" s="25">
        <f t="shared" si="2"/>
        <v>3551.1419999999998</v>
      </c>
      <c r="G10" s="25">
        <f t="shared" si="2"/>
        <v>2682.6060000000002</v>
      </c>
      <c r="H10" s="25">
        <f t="shared" si="2"/>
        <v>0</v>
      </c>
      <c r="I10" s="25">
        <f t="shared" si="2"/>
        <v>13678.042000000001</v>
      </c>
    </row>
    <row r="11" spans="1:9" x14ac:dyDescent="0.2">
      <c r="A11" s="27"/>
      <c r="B11" s="59"/>
      <c r="C11" s="28">
        <f>+C10/I10</f>
        <v>0.20117089858329137</v>
      </c>
      <c r="D11" s="28">
        <f>+D10/I10</f>
        <v>0.16462122283291714</v>
      </c>
      <c r="E11" s="28">
        <f>+E10/I10</f>
        <v>0.17845931457148617</v>
      </c>
      <c r="F11" s="28">
        <f>+F10/I10</f>
        <v>0.25962356308015427</v>
      </c>
      <c r="G11" s="28">
        <f>+G10/I10</f>
        <v>0.19612500093215096</v>
      </c>
      <c r="H11" s="28">
        <f>+H10/I10</f>
        <v>0</v>
      </c>
      <c r="I11" s="29"/>
    </row>
    <row r="12" spans="1:9" x14ac:dyDescent="0.2">
      <c r="A12" s="30" t="s">
        <v>15</v>
      </c>
      <c r="B12" s="60"/>
      <c r="C12" s="31">
        <f>AVERAGE(C102:C111)</f>
        <v>4168.6119999999992</v>
      </c>
      <c r="D12" s="31">
        <f t="shared" ref="D12:H12" si="3">AVERAGE(D102:D111)</f>
        <v>2651.348</v>
      </c>
      <c r="E12" s="31">
        <f t="shared" si="3"/>
        <v>2464.2869999999998</v>
      </c>
      <c r="F12" s="31">
        <f t="shared" si="3"/>
        <v>4339.1710000000003</v>
      </c>
      <c r="G12" s="31">
        <f t="shared" si="3"/>
        <v>1669.9029999999998</v>
      </c>
      <c r="H12" s="31">
        <f t="shared" si="3"/>
        <v>0</v>
      </c>
      <c r="I12" s="31">
        <f>AVERAGE(I102:I111)</f>
        <v>15293.321</v>
      </c>
    </row>
    <row r="13" spans="1:9" x14ac:dyDescent="0.2">
      <c r="A13" s="33"/>
      <c r="B13" s="61"/>
      <c r="C13" s="22">
        <f>+C12/I12</f>
        <v>0.27257729043940154</v>
      </c>
      <c r="D13" s="22">
        <f>+D12/I12</f>
        <v>0.17336639961980788</v>
      </c>
      <c r="E13" s="22">
        <f>+E12/I12</f>
        <v>0.16113485095879435</v>
      </c>
      <c r="F13" s="66">
        <f>+F12/I12</f>
        <v>0.28372980597216263</v>
      </c>
      <c r="G13" s="22">
        <f>+G12/I12</f>
        <v>0.10919165300983349</v>
      </c>
      <c r="H13" s="34"/>
      <c r="I13" s="23"/>
    </row>
    <row r="14" spans="1:9" x14ac:dyDescent="0.2">
      <c r="A14" s="35" t="s">
        <v>16</v>
      </c>
      <c r="B14" s="62"/>
      <c r="C14" s="25">
        <f>AVERAGE(C92:C101)</f>
        <v>6122.9</v>
      </c>
      <c r="D14" s="25">
        <f t="shared" ref="D14:I14" si="4">AVERAGE(D92:D101)</f>
        <v>4257.1000000000004</v>
      </c>
      <c r="E14" s="25">
        <f t="shared" si="4"/>
        <v>3994.9</v>
      </c>
      <c r="F14" s="47">
        <f t="shared" si="4"/>
        <v>3824.7</v>
      </c>
      <c r="G14" s="25">
        <f t="shared" si="4"/>
        <v>1354.2</v>
      </c>
      <c r="H14" s="25">
        <f t="shared" si="4"/>
        <v>0</v>
      </c>
      <c r="I14" s="26">
        <f t="shared" si="4"/>
        <v>19553.8</v>
      </c>
    </row>
    <row r="15" spans="1:9" x14ac:dyDescent="0.2">
      <c r="A15" s="36"/>
      <c r="B15" s="63"/>
      <c r="C15" s="28">
        <f>+C14/I14</f>
        <v>0.31313095152860315</v>
      </c>
      <c r="D15" s="28">
        <f>+D14/I14</f>
        <v>0.21771215825057025</v>
      </c>
      <c r="E15" s="28">
        <f>+E14/I14</f>
        <v>0.20430299992840267</v>
      </c>
      <c r="F15" s="28">
        <f>+F14/I14</f>
        <v>0.19559880943857461</v>
      </c>
      <c r="G15" s="28">
        <f>+G14/I14</f>
        <v>6.9255080853849391E-2</v>
      </c>
      <c r="H15" s="28">
        <f>+H14/I14</f>
        <v>0</v>
      </c>
      <c r="I15" s="29"/>
    </row>
    <row r="16" spans="1:9" x14ac:dyDescent="0.2">
      <c r="A16" s="37" t="s">
        <v>17</v>
      </c>
      <c r="B16" s="64"/>
      <c r="C16" s="31">
        <f>AVERAGE(C82:C91)</f>
        <v>4240.5</v>
      </c>
      <c r="D16" s="31">
        <f t="shared" ref="D16:I16" si="5">AVERAGE(D82:D91)</f>
        <v>7370.5</v>
      </c>
      <c r="E16" s="31">
        <f t="shared" si="5"/>
        <v>2464.6</v>
      </c>
      <c r="F16" s="67">
        <f t="shared" si="5"/>
        <v>2919.5</v>
      </c>
      <c r="G16" s="31">
        <f t="shared" si="5"/>
        <v>1405</v>
      </c>
      <c r="H16" s="31">
        <f t="shared" si="5"/>
        <v>0</v>
      </c>
      <c r="I16" s="32">
        <f t="shared" si="5"/>
        <v>18400.099999999999</v>
      </c>
    </row>
    <row r="17" spans="1:9" x14ac:dyDescent="0.2">
      <c r="A17" s="33"/>
      <c r="B17" s="61"/>
      <c r="C17" s="22">
        <f>+C16/I16</f>
        <v>0.23046070401791297</v>
      </c>
      <c r="D17" s="22">
        <f>+D16/I16</f>
        <v>0.4005684751713306</v>
      </c>
      <c r="E17" s="22">
        <f>+E16/I16</f>
        <v>0.13394492421236842</v>
      </c>
      <c r="F17" s="66">
        <f>+F16/I16</f>
        <v>0.15866761593686993</v>
      </c>
      <c r="G17" s="22">
        <f>+G16/I16</f>
        <v>7.6358280661518146E-2</v>
      </c>
      <c r="H17" s="22">
        <f>+H16/I16</f>
        <v>0</v>
      </c>
      <c r="I17" s="23"/>
    </row>
    <row r="18" spans="1:9" x14ac:dyDescent="0.2">
      <c r="A18" s="35" t="s">
        <v>18</v>
      </c>
      <c r="B18" s="62"/>
      <c r="C18" s="25">
        <f t="shared" ref="C18:I18" si="6">AVERAGE(C72:C81)</f>
        <v>8469.9</v>
      </c>
      <c r="D18" s="25">
        <f t="shared" si="6"/>
        <v>6171.1</v>
      </c>
      <c r="E18" s="25">
        <f>AVERAGE(E72:E81)</f>
        <v>2158.1999999999998</v>
      </c>
      <c r="F18" s="47">
        <f t="shared" si="6"/>
        <v>5401.5</v>
      </c>
      <c r="G18" s="25">
        <f t="shared" si="6"/>
        <v>446.9</v>
      </c>
      <c r="H18" s="25">
        <f t="shared" si="6"/>
        <v>0</v>
      </c>
      <c r="I18" s="26">
        <f t="shared" si="6"/>
        <v>22647.599999999999</v>
      </c>
    </row>
    <row r="19" spans="1:9" x14ac:dyDescent="0.2">
      <c r="A19" s="36"/>
      <c r="B19" s="63"/>
      <c r="C19" s="28">
        <f>+C18/I18</f>
        <v>0.37398664759179784</v>
      </c>
      <c r="D19" s="28">
        <f>+D18/I18</f>
        <v>0.27248361857327047</v>
      </c>
      <c r="E19" s="28">
        <f>+E18/I18</f>
        <v>9.5294865681131768E-2</v>
      </c>
      <c r="F19" s="28">
        <f>+F18/I18</f>
        <v>0.23850209293699995</v>
      </c>
      <c r="G19" s="28">
        <f>+G18/I18</f>
        <v>1.9732775216800013E-2</v>
      </c>
      <c r="H19" s="28">
        <f>+H18/I18</f>
        <v>0</v>
      </c>
      <c r="I19" s="29"/>
    </row>
    <row r="20" spans="1:9" x14ac:dyDescent="0.2">
      <c r="A20" s="37" t="s">
        <v>19</v>
      </c>
      <c r="B20" s="64"/>
      <c r="C20" s="31">
        <f t="shared" ref="C20:I20" si="7">AVERAGE(C62:C71)</f>
        <v>9218.2000000000007</v>
      </c>
      <c r="D20" s="31">
        <f t="shared" si="7"/>
        <v>5550.2</v>
      </c>
      <c r="E20" s="31">
        <f t="shared" si="7"/>
        <v>0</v>
      </c>
      <c r="F20" s="67">
        <f t="shared" si="7"/>
        <v>3837.4</v>
      </c>
      <c r="G20" s="31">
        <f t="shared" si="7"/>
        <v>1127.5999999999999</v>
      </c>
      <c r="H20" s="31">
        <f t="shared" si="7"/>
        <v>52.7</v>
      </c>
      <c r="I20" s="32">
        <f t="shared" si="7"/>
        <v>19786.099999999999</v>
      </c>
    </row>
    <row r="21" spans="1:9" x14ac:dyDescent="0.2">
      <c r="A21" s="33"/>
      <c r="B21" s="61"/>
      <c r="C21" s="22">
        <f>+C20/I20</f>
        <v>0.46589272266894444</v>
      </c>
      <c r="D21" s="22">
        <f>+D20/I20</f>
        <v>0.28051005503863824</v>
      </c>
      <c r="E21" s="22">
        <f>+E20/I20</f>
        <v>0</v>
      </c>
      <c r="F21" s="66">
        <f>+F20/I20</f>
        <v>0.19394423357811799</v>
      </c>
      <c r="G21" s="22">
        <f>+G20/I20</f>
        <v>5.6989502731715699E-2</v>
      </c>
      <c r="H21" s="22">
        <f>+H20/I20</f>
        <v>2.6634859825837333E-3</v>
      </c>
      <c r="I21" s="23"/>
    </row>
    <row r="22" spans="1:9" x14ac:dyDescent="0.2">
      <c r="A22" s="35" t="s">
        <v>20</v>
      </c>
      <c r="B22" s="62"/>
      <c r="C22" s="25">
        <f t="shared" ref="C22:I22" si="8">AVERAGE(C52:C61)</f>
        <v>3848</v>
      </c>
      <c r="D22" s="25">
        <f t="shared" si="8"/>
        <v>4488.3</v>
      </c>
      <c r="E22" s="25">
        <f t="shared" si="8"/>
        <v>0</v>
      </c>
      <c r="F22" s="47">
        <f t="shared" si="8"/>
        <v>2048.8000000000002</v>
      </c>
      <c r="G22" s="25">
        <f t="shared" si="8"/>
        <v>118.7</v>
      </c>
      <c r="H22" s="25">
        <f t="shared" si="8"/>
        <v>1083.5</v>
      </c>
      <c r="I22" s="26">
        <f t="shared" si="8"/>
        <v>11587.3</v>
      </c>
    </row>
    <row r="23" spans="1:9" x14ac:dyDescent="0.2">
      <c r="A23" s="36"/>
      <c r="B23" s="63"/>
      <c r="C23" s="28">
        <f>+C22/I22</f>
        <v>0.33208771672434478</v>
      </c>
      <c r="D23" s="28">
        <f>+D22/I22</f>
        <v>0.38734649141732763</v>
      </c>
      <c r="E23" s="28">
        <f>+E22/I22</f>
        <v>0</v>
      </c>
      <c r="F23" s="28">
        <f>+F22/I22</f>
        <v>0.17681427079647546</v>
      </c>
      <c r="G23" s="28">
        <f>+G22/I22</f>
        <v>1.0243974006023837E-2</v>
      </c>
      <c r="H23" s="28">
        <f>+H22/I22</f>
        <v>9.3507547055828366E-2</v>
      </c>
      <c r="I23" s="29"/>
    </row>
    <row r="24" spans="1:9" x14ac:dyDescent="0.2">
      <c r="A24" s="9"/>
      <c r="B24" s="9"/>
      <c r="C24" s="38"/>
      <c r="D24" s="38"/>
      <c r="E24" s="11"/>
      <c r="F24" s="10"/>
      <c r="G24" s="38"/>
      <c r="H24" s="11"/>
      <c r="I24" s="38"/>
    </row>
    <row r="25" spans="1:9" x14ac:dyDescent="0.2">
      <c r="A25" s="39">
        <v>1933</v>
      </c>
      <c r="B25" s="39"/>
      <c r="C25" s="38">
        <v>0</v>
      </c>
      <c r="D25" s="38">
        <v>2882</v>
      </c>
      <c r="E25" s="38">
        <v>0</v>
      </c>
      <c r="F25" s="48">
        <v>0</v>
      </c>
      <c r="G25" s="38">
        <v>0</v>
      </c>
      <c r="H25" s="38">
        <v>718</v>
      </c>
      <c r="I25" s="38">
        <f>SUM(C25:H25)</f>
        <v>3600</v>
      </c>
    </row>
    <row r="26" spans="1:9" x14ac:dyDescent="0.2">
      <c r="A26" s="39">
        <v>1934</v>
      </c>
      <c r="B26" s="39"/>
      <c r="C26" s="38">
        <v>0</v>
      </c>
      <c r="D26" s="38">
        <v>2488</v>
      </c>
      <c r="E26" s="38">
        <v>0</v>
      </c>
      <c r="F26" s="48">
        <v>0</v>
      </c>
      <c r="G26" s="38">
        <v>0</v>
      </c>
      <c r="H26" s="38">
        <v>1729</v>
      </c>
      <c r="I26" s="38">
        <f t="shared" ref="I26:I89" si="9">SUM(C26:H26)</f>
        <v>4217</v>
      </c>
    </row>
    <row r="27" spans="1:9" x14ac:dyDescent="0.2">
      <c r="A27" s="39">
        <v>1935</v>
      </c>
      <c r="B27" s="39"/>
      <c r="C27" s="38">
        <v>0</v>
      </c>
      <c r="D27" s="38">
        <v>3496</v>
      </c>
      <c r="E27" s="38">
        <v>0</v>
      </c>
      <c r="F27" s="48">
        <v>0</v>
      </c>
      <c r="G27" s="38">
        <v>0</v>
      </c>
      <c r="H27" s="38">
        <v>343</v>
      </c>
      <c r="I27" s="38">
        <f t="shared" si="9"/>
        <v>3839</v>
      </c>
    </row>
    <row r="28" spans="1:9" x14ac:dyDescent="0.2">
      <c r="A28" s="39">
        <v>1936</v>
      </c>
      <c r="B28" s="39"/>
      <c r="C28" s="38">
        <v>0</v>
      </c>
      <c r="D28" s="38">
        <v>3687</v>
      </c>
      <c r="E28" s="38">
        <v>0</v>
      </c>
      <c r="F28" s="48">
        <v>0</v>
      </c>
      <c r="G28" s="38">
        <v>0</v>
      </c>
      <c r="H28" s="38">
        <v>436</v>
      </c>
      <c r="I28" s="38">
        <f t="shared" si="9"/>
        <v>4123</v>
      </c>
    </row>
    <row r="29" spans="1:9" x14ac:dyDescent="0.2">
      <c r="A29" s="39">
        <v>1937</v>
      </c>
      <c r="B29" s="39"/>
      <c r="C29" s="38">
        <v>0</v>
      </c>
      <c r="D29" s="38">
        <v>3842</v>
      </c>
      <c r="E29" s="38">
        <v>0</v>
      </c>
      <c r="F29" s="48">
        <v>0</v>
      </c>
      <c r="G29" s="38">
        <v>0</v>
      </c>
      <c r="H29" s="38">
        <v>161</v>
      </c>
      <c r="I29" s="38">
        <f t="shared" si="9"/>
        <v>4003</v>
      </c>
    </row>
    <row r="30" spans="1:9" x14ac:dyDescent="0.2">
      <c r="A30" s="39">
        <v>1938</v>
      </c>
      <c r="B30" s="39"/>
      <c r="C30" s="38">
        <v>0</v>
      </c>
      <c r="D30" s="38">
        <v>3746</v>
      </c>
      <c r="E30" s="38">
        <v>0</v>
      </c>
      <c r="F30" s="48">
        <v>0</v>
      </c>
      <c r="G30" s="38">
        <v>0</v>
      </c>
      <c r="H30" s="38">
        <v>197</v>
      </c>
      <c r="I30" s="38">
        <f t="shared" si="9"/>
        <v>3943</v>
      </c>
    </row>
    <row r="31" spans="1:9" x14ac:dyDescent="0.2">
      <c r="A31" s="39">
        <v>1939</v>
      </c>
      <c r="B31" s="39"/>
      <c r="C31" s="38">
        <v>0</v>
      </c>
      <c r="D31" s="38">
        <v>4412</v>
      </c>
      <c r="E31" s="38">
        <v>0</v>
      </c>
      <c r="F31" s="48">
        <v>0</v>
      </c>
      <c r="G31" s="38">
        <v>0</v>
      </c>
      <c r="H31" s="38">
        <v>94</v>
      </c>
      <c r="I31" s="38">
        <f t="shared" si="9"/>
        <v>4506</v>
      </c>
    </row>
    <row r="32" spans="1:9" x14ac:dyDescent="0.2">
      <c r="A32" s="39">
        <v>1940</v>
      </c>
      <c r="B32" s="39"/>
      <c r="C32" s="38">
        <v>0</v>
      </c>
      <c r="D32" s="38">
        <v>4141</v>
      </c>
      <c r="E32" s="38">
        <v>0</v>
      </c>
      <c r="F32" s="48">
        <v>0</v>
      </c>
      <c r="G32" s="38">
        <v>0</v>
      </c>
      <c r="H32" s="38">
        <v>99</v>
      </c>
      <c r="I32" s="38">
        <f t="shared" si="9"/>
        <v>4240</v>
      </c>
    </row>
    <row r="33" spans="1:9" x14ac:dyDescent="0.2">
      <c r="A33" s="39">
        <v>1941</v>
      </c>
      <c r="B33" s="39"/>
      <c r="C33" s="38">
        <v>0</v>
      </c>
      <c r="D33" s="38">
        <v>4152</v>
      </c>
      <c r="E33" s="38">
        <v>0</v>
      </c>
      <c r="F33" s="48">
        <v>0</v>
      </c>
      <c r="G33" s="38">
        <v>0</v>
      </c>
      <c r="H33" s="38">
        <v>0</v>
      </c>
      <c r="I33" s="38">
        <f t="shared" si="9"/>
        <v>4152</v>
      </c>
    </row>
    <row r="34" spans="1:9" x14ac:dyDescent="0.2">
      <c r="A34" s="39">
        <v>1942</v>
      </c>
      <c r="B34" s="39"/>
      <c r="C34" s="38">
        <v>0</v>
      </c>
      <c r="D34" s="38">
        <v>3816</v>
      </c>
      <c r="E34" s="38">
        <v>0</v>
      </c>
      <c r="F34" s="48">
        <v>0</v>
      </c>
      <c r="G34" s="38">
        <v>0</v>
      </c>
      <c r="H34" s="38">
        <v>1</v>
      </c>
      <c r="I34" s="38">
        <f t="shared" si="9"/>
        <v>3817</v>
      </c>
    </row>
    <row r="35" spans="1:9" x14ac:dyDescent="0.2">
      <c r="A35" s="39">
        <v>1943</v>
      </c>
      <c r="B35" s="39"/>
      <c r="C35" s="38">
        <v>0</v>
      </c>
      <c r="D35" s="38">
        <v>4593</v>
      </c>
      <c r="E35" s="38">
        <v>0</v>
      </c>
      <c r="F35" s="48">
        <v>0</v>
      </c>
      <c r="G35" s="38">
        <v>0</v>
      </c>
      <c r="H35" s="38">
        <v>0</v>
      </c>
      <c r="I35" s="38">
        <f t="shared" si="9"/>
        <v>4593</v>
      </c>
    </row>
    <row r="36" spans="1:9" x14ac:dyDescent="0.2">
      <c r="A36" s="39">
        <v>1944</v>
      </c>
      <c r="B36" s="39"/>
      <c r="C36" s="38">
        <v>0</v>
      </c>
      <c r="D36" s="38">
        <v>4947</v>
      </c>
      <c r="E36" s="38">
        <v>0</v>
      </c>
      <c r="F36" s="48">
        <v>0</v>
      </c>
      <c r="G36" s="38">
        <v>0</v>
      </c>
      <c r="H36" s="38">
        <v>0</v>
      </c>
      <c r="I36" s="38">
        <f t="shared" si="9"/>
        <v>4947</v>
      </c>
    </row>
    <row r="37" spans="1:9" x14ac:dyDescent="0.2">
      <c r="A37" s="39">
        <v>1945</v>
      </c>
      <c r="B37" s="39"/>
      <c r="C37" s="38">
        <v>0</v>
      </c>
      <c r="D37" s="38">
        <v>5301</v>
      </c>
      <c r="E37" s="38">
        <v>0</v>
      </c>
      <c r="F37" s="48">
        <v>0</v>
      </c>
      <c r="G37" s="38">
        <v>0</v>
      </c>
      <c r="H37" s="38">
        <v>18</v>
      </c>
      <c r="I37" s="38">
        <f t="shared" si="9"/>
        <v>5319</v>
      </c>
    </row>
    <row r="38" spans="1:9" x14ac:dyDescent="0.2">
      <c r="A38" s="39">
        <v>1946</v>
      </c>
      <c r="B38" s="39"/>
      <c r="C38" s="38">
        <v>0</v>
      </c>
      <c r="D38" s="38">
        <v>5845</v>
      </c>
      <c r="E38" s="38">
        <v>0</v>
      </c>
      <c r="F38" s="48">
        <v>0</v>
      </c>
      <c r="G38" s="38">
        <v>0</v>
      </c>
      <c r="H38" s="38">
        <v>25</v>
      </c>
      <c r="I38" s="38">
        <f t="shared" si="9"/>
        <v>5870</v>
      </c>
    </row>
    <row r="39" spans="1:9" x14ac:dyDescent="0.2">
      <c r="A39" s="39">
        <v>1947</v>
      </c>
      <c r="B39" s="39"/>
      <c r="C39" s="38">
        <v>0</v>
      </c>
      <c r="D39" s="38">
        <v>5491</v>
      </c>
      <c r="E39" s="38">
        <v>0</v>
      </c>
      <c r="F39" s="48">
        <v>0</v>
      </c>
      <c r="G39" s="38">
        <v>0</v>
      </c>
      <c r="H39" s="38">
        <v>515</v>
      </c>
      <c r="I39" s="38">
        <f t="shared" si="9"/>
        <v>6006</v>
      </c>
    </row>
    <row r="40" spans="1:9" x14ac:dyDescent="0.2">
      <c r="A40" s="39">
        <v>1948</v>
      </c>
      <c r="B40" s="39"/>
      <c r="C40" s="38">
        <v>0</v>
      </c>
      <c r="D40" s="38">
        <v>2179</v>
      </c>
      <c r="E40" s="38">
        <v>0</v>
      </c>
      <c r="F40" s="48">
        <v>0</v>
      </c>
      <c r="G40" s="38">
        <v>0</v>
      </c>
      <c r="H40" s="38">
        <v>1784</v>
      </c>
      <c r="I40" s="38">
        <f t="shared" si="9"/>
        <v>3963</v>
      </c>
    </row>
    <row r="41" spans="1:9" x14ac:dyDescent="0.2">
      <c r="A41" s="39">
        <v>1949</v>
      </c>
      <c r="B41" s="39"/>
      <c r="C41" s="38">
        <v>0</v>
      </c>
      <c r="D41" s="38">
        <v>3118</v>
      </c>
      <c r="E41" s="38">
        <v>0</v>
      </c>
      <c r="F41" s="48">
        <v>0</v>
      </c>
      <c r="G41" s="38">
        <v>0</v>
      </c>
      <c r="H41" s="38">
        <v>2470</v>
      </c>
      <c r="I41" s="38">
        <f t="shared" si="9"/>
        <v>5588</v>
      </c>
    </row>
    <row r="42" spans="1:9" x14ac:dyDescent="0.2">
      <c r="A42" s="39">
        <v>1950</v>
      </c>
      <c r="B42" s="39"/>
      <c r="C42" s="38">
        <v>0</v>
      </c>
      <c r="D42" s="38">
        <v>3299</v>
      </c>
      <c r="E42" s="38">
        <v>0</v>
      </c>
      <c r="F42" s="48">
        <v>0</v>
      </c>
      <c r="G42" s="38">
        <v>0</v>
      </c>
      <c r="H42" s="38">
        <v>2008</v>
      </c>
      <c r="I42" s="38">
        <f t="shared" si="9"/>
        <v>5307</v>
      </c>
    </row>
    <row r="43" spans="1:9" x14ac:dyDescent="0.2">
      <c r="A43" s="39">
        <v>1951</v>
      </c>
      <c r="B43" s="39"/>
      <c r="C43" s="38">
        <v>0</v>
      </c>
      <c r="D43" s="38">
        <v>1463</v>
      </c>
      <c r="E43" s="38">
        <v>0</v>
      </c>
      <c r="F43" s="48">
        <v>0</v>
      </c>
      <c r="G43" s="38">
        <v>0</v>
      </c>
      <c r="H43" s="38">
        <v>4446</v>
      </c>
      <c r="I43" s="38">
        <f t="shared" si="9"/>
        <v>5909</v>
      </c>
    </row>
    <row r="44" spans="1:9" x14ac:dyDescent="0.2">
      <c r="A44" s="39">
        <v>1952</v>
      </c>
      <c r="B44" s="39"/>
      <c r="C44" s="38">
        <v>0</v>
      </c>
      <c r="D44" s="38">
        <v>4809</v>
      </c>
      <c r="E44" s="38">
        <v>0</v>
      </c>
      <c r="F44" s="48">
        <v>0</v>
      </c>
      <c r="G44" s="38">
        <v>0</v>
      </c>
      <c r="H44" s="38">
        <v>613</v>
      </c>
      <c r="I44" s="38">
        <f t="shared" si="9"/>
        <v>5422</v>
      </c>
    </row>
    <row r="45" spans="1:9" x14ac:dyDescent="0.2">
      <c r="A45" s="39">
        <v>1953</v>
      </c>
      <c r="B45" s="39"/>
      <c r="C45" s="38">
        <v>0</v>
      </c>
      <c r="D45" s="38">
        <v>5128</v>
      </c>
      <c r="E45" s="38">
        <v>0</v>
      </c>
      <c r="F45" s="48">
        <v>0</v>
      </c>
      <c r="G45" s="38">
        <v>0</v>
      </c>
      <c r="H45" s="38">
        <v>1382</v>
      </c>
      <c r="I45" s="38">
        <f t="shared" si="9"/>
        <v>6510</v>
      </c>
    </row>
    <row r="46" spans="1:9" x14ac:dyDescent="0.2">
      <c r="A46" s="39">
        <v>1954</v>
      </c>
      <c r="B46" s="39"/>
      <c r="C46" s="38">
        <v>0</v>
      </c>
      <c r="D46" s="38">
        <v>4643</v>
      </c>
      <c r="E46" s="38">
        <v>0</v>
      </c>
      <c r="F46" s="48">
        <v>0</v>
      </c>
      <c r="G46" s="38">
        <v>0</v>
      </c>
      <c r="H46" s="38">
        <v>1608</v>
      </c>
      <c r="I46" s="38">
        <f t="shared" si="9"/>
        <v>6251</v>
      </c>
    </row>
    <row r="47" spans="1:9" x14ac:dyDescent="0.2">
      <c r="A47" s="39">
        <v>1955</v>
      </c>
      <c r="B47" s="39"/>
      <c r="C47" s="38">
        <v>0</v>
      </c>
      <c r="D47" s="38">
        <v>4235</v>
      </c>
      <c r="E47" s="38">
        <v>0</v>
      </c>
      <c r="F47" s="48">
        <v>0</v>
      </c>
      <c r="G47" s="38">
        <v>0</v>
      </c>
      <c r="H47" s="38">
        <v>2199</v>
      </c>
      <c r="I47" s="38">
        <f t="shared" si="9"/>
        <v>6434</v>
      </c>
    </row>
    <row r="48" spans="1:9" x14ac:dyDescent="0.2">
      <c r="A48" s="39">
        <v>1956</v>
      </c>
      <c r="B48" s="39"/>
      <c r="C48" s="38">
        <v>0</v>
      </c>
      <c r="D48" s="38">
        <v>4913</v>
      </c>
      <c r="E48" s="38">
        <v>0</v>
      </c>
      <c r="F48" s="48">
        <v>0</v>
      </c>
      <c r="G48" s="38">
        <v>0</v>
      </c>
      <c r="H48" s="38">
        <v>2120</v>
      </c>
      <c r="I48" s="38">
        <f t="shared" si="9"/>
        <v>7033</v>
      </c>
    </row>
    <row r="49" spans="1:9" x14ac:dyDescent="0.2">
      <c r="A49" s="39">
        <v>1957</v>
      </c>
      <c r="B49" s="39"/>
      <c r="C49" s="38">
        <v>0</v>
      </c>
      <c r="D49" s="38">
        <v>3593</v>
      </c>
      <c r="E49" s="38">
        <v>0</v>
      </c>
      <c r="F49" s="48">
        <v>0</v>
      </c>
      <c r="G49" s="38">
        <v>0</v>
      </c>
      <c r="H49" s="38">
        <v>3864</v>
      </c>
      <c r="I49" s="38">
        <f t="shared" si="9"/>
        <v>7457</v>
      </c>
    </row>
    <row r="50" spans="1:9" x14ac:dyDescent="0.2">
      <c r="A50" s="39">
        <v>1958</v>
      </c>
      <c r="B50" s="39"/>
      <c r="C50" s="38">
        <v>0</v>
      </c>
      <c r="D50" s="38">
        <v>5177</v>
      </c>
      <c r="E50" s="38">
        <v>0</v>
      </c>
      <c r="F50" s="48">
        <v>0</v>
      </c>
      <c r="G50" s="38">
        <v>0</v>
      </c>
      <c r="H50" s="38">
        <v>3018</v>
      </c>
      <c r="I50" s="38">
        <f t="shared" si="9"/>
        <v>8195</v>
      </c>
    </row>
    <row r="51" spans="1:9" x14ac:dyDescent="0.2">
      <c r="A51" s="39">
        <v>1959</v>
      </c>
      <c r="B51" s="39"/>
      <c r="C51" s="38">
        <v>567</v>
      </c>
      <c r="D51" s="38">
        <v>3760</v>
      </c>
      <c r="E51" s="38">
        <v>0</v>
      </c>
      <c r="F51" s="48">
        <v>0</v>
      </c>
      <c r="G51" s="38">
        <v>0</v>
      </c>
      <c r="H51" s="38">
        <v>4305</v>
      </c>
      <c r="I51" s="38">
        <f t="shared" si="9"/>
        <v>8632</v>
      </c>
    </row>
    <row r="52" spans="1:9" x14ac:dyDescent="0.2">
      <c r="A52" s="39">
        <v>1960</v>
      </c>
      <c r="B52" s="39"/>
      <c r="C52" s="38">
        <v>1140</v>
      </c>
      <c r="D52" s="38">
        <v>3563</v>
      </c>
      <c r="E52" s="38">
        <v>0</v>
      </c>
      <c r="F52" s="48">
        <v>0</v>
      </c>
      <c r="G52" s="38">
        <v>0</v>
      </c>
      <c r="H52" s="38">
        <v>4129</v>
      </c>
      <c r="I52" s="38">
        <f t="shared" si="9"/>
        <v>8832</v>
      </c>
    </row>
    <row r="53" spans="1:9" x14ac:dyDescent="0.2">
      <c r="A53" s="39">
        <v>1961</v>
      </c>
      <c r="B53" s="39"/>
      <c r="C53" s="38">
        <v>753</v>
      </c>
      <c r="D53" s="38">
        <v>1706</v>
      </c>
      <c r="E53" s="38">
        <v>0</v>
      </c>
      <c r="F53" s="48">
        <v>0</v>
      </c>
      <c r="G53" s="38">
        <v>0</v>
      </c>
      <c r="H53" s="38">
        <v>5994</v>
      </c>
      <c r="I53" s="38">
        <f t="shared" si="9"/>
        <v>8453</v>
      </c>
    </row>
    <row r="54" spans="1:9" x14ac:dyDescent="0.2">
      <c r="A54" s="39">
        <v>1962</v>
      </c>
      <c r="B54" s="39"/>
      <c r="C54" s="38">
        <v>944</v>
      </c>
      <c r="D54" s="38">
        <v>5146</v>
      </c>
      <c r="E54" s="38">
        <v>0</v>
      </c>
      <c r="F54" s="48">
        <v>2031</v>
      </c>
      <c r="G54" s="38">
        <v>0</v>
      </c>
      <c r="H54" s="38">
        <v>571</v>
      </c>
      <c r="I54" s="38">
        <f t="shared" si="9"/>
        <v>8692</v>
      </c>
    </row>
    <row r="55" spans="1:9" x14ac:dyDescent="0.2">
      <c r="A55" s="39">
        <v>1963</v>
      </c>
      <c r="B55" s="39"/>
      <c r="C55" s="38">
        <v>2813</v>
      </c>
      <c r="D55" s="38">
        <v>4830</v>
      </c>
      <c r="E55" s="38">
        <v>0</v>
      </c>
      <c r="F55" s="48">
        <v>1051</v>
      </c>
      <c r="G55" s="38">
        <v>0</v>
      </c>
      <c r="H55" s="38">
        <v>0</v>
      </c>
      <c r="I55" s="38">
        <f t="shared" si="9"/>
        <v>8694</v>
      </c>
    </row>
    <row r="56" spans="1:9" x14ac:dyDescent="0.2">
      <c r="A56" s="39">
        <v>1964</v>
      </c>
      <c r="B56" s="39"/>
      <c r="C56" s="38">
        <v>2863</v>
      </c>
      <c r="D56" s="38">
        <v>3612</v>
      </c>
      <c r="E56" s="38">
        <v>0</v>
      </c>
      <c r="F56" s="48">
        <v>3570</v>
      </c>
      <c r="G56" s="38">
        <v>0</v>
      </c>
      <c r="H56" s="38">
        <v>0</v>
      </c>
      <c r="I56" s="38">
        <f t="shared" si="9"/>
        <v>10045</v>
      </c>
    </row>
    <row r="57" spans="1:9" x14ac:dyDescent="0.2">
      <c r="A57" s="39">
        <v>1965</v>
      </c>
      <c r="B57" s="39"/>
      <c r="C57" s="38">
        <v>3011</v>
      </c>
      <c r="D57" s="38">
        <v>4250</v>
      </c>
      <c r="E57" s="38">
        <v>0</v>
      </c>
      <c r="F57" s="48">
        <v>3504</v>
      </c>
      <c r="G57" s="38">
        <v>0</v>
      </c>
      <c r="H57" s="38">
        <v>9</v>
      </c>
      <c r="I57" s="38">
        <f t="shared" si="9"/>
        <v>10774</v>
      </c>
    </row>
    <row r="58" spans="1:9" x14ac:dyDescent="0.2">
      <c r="A58" s="39">
        <v>1966</v>
      </c>
      <c r="B58" s="39"/>
      <c r="C58" s="38">
        <v>3875</v>
      </c>
      <c r="D58" s="38">
        <v>5564</v>
      </c>
      <c r="E58" s="38">
        <v>0</v>
      </c>
      <c r="F58" s="48">
        <v>3147</v>
      </c>
      <c r="G58" s="38">
        <v>0</v>
      </c>
      <c r="H58" s="38">
        <v>0</v>
      </c>
      <c r="I58" s="38">
        <f t="shared" si="9"/>
        <v>12586</v>
      </c>
    </row>
    <row r="59" spans="1:9" x14ac:dyDescent="0.2">
      <c r="A59" s="39">
        <v>1967</v>
      </c>
      <c r="B59" s="39"/>
      <c r="C59" s="38">
        <v>5427</v>
      </c>
      <c r="D59" s="38">
        <v>7150</v>
      </c>
      <c r="E59" s="38">
        <v>0</v>
      </c>
      <c r="F59" s="48">
        <v>1782</v>
      </c>
      <c r="G59" s="38">
        <v>0</v>
      </c>
      <c r="H59" s="38">
        <v>0</v>
      </c>
      <c r="I59" s="38">
        <f t="shared" si="9"/>
        <v>14359</v>
      </c>
    </row>
    <row r="60" spans="1:9" x14ac:dyDescent="0.2">
      <c r="A60" s="39">
        <v>1968</v>
      </c>
      <c r="B60" s="39"/>
      <c r="C60" s="38">
        <v>8476</v>
      </c>
      <c r="D60" s="38">
        <v>5163</v>
      </c>
      <c r="E60" s="38">
        <v>0</v>
      </c>
      <c r="F60" s="48">
        <v>1593</v>
      </c>
      <c r="G60" s="38">
        <v>0</v>
      </c>
      <c r="H60" s="38">
        <v>0</v>
      </c>
      <c r="I60" s="38">
        <f t="shared" si="9"/>
        <v>15232</v>
      </c>
    </row>
    <row r="61" spans="1:9" x14ac:dyDescent="0.2">
      <c r="A61" s="39">
        <v>1969</v>
      </c>
      <c r="B61" s="39"/>
      <c r="C61" s="38">
        <v>9178</v>
      </c>
      <c r="D61" s="38">
        <v>3899</v>
      </c>
      <c r="E61" s="38">
        <v>0</v>
      </c>
      <c r="F61" s="48">
        <v>3810</v>
      </c>
      <c r="G61" s="38">
        <v>1187</v>
      </c>
      <c r="H61" s="38">
        <v>132</v>
      </c>
      <c r="I61" s="38">
        <f t="shared" si="9"/>
        <v>18206</v>
      </c>
    </row>
    <row r="62" spans="1:9" x14ac:dyDescent="0.2">
      <c r="A62" s="39">
        <v>1970</v>
      </c>
      <c r="B62" s="39"/>
      <c r="C62" s="38">
        <v>10045</v>
      </c>
      <c r="D62" s="38">
        <v>5969</v>
      </c>
      <c r="E62" s="38">
        <v>0</v>
      </c>
      <c r="F62" s="48">
        <v>4149</v>
      </c>
      <c r="G62" s="38">
        <v>1354</v>
      </c>
      <c r="H62" s="38">
        <v>7</v>
      </c>
      <c r="I62" s="38">
        <f t="shared" si="9"/>
        <v>21524</v>
      </c>
    </row>
    <row r="63" spans="1:9" x14ac:dyDescent="0.2">
      <c r="A63" s="39">
        <v>1971</v>
      </c>
      <c r="B63" s="39"/>
      <c r="C63" s="38">
        <v>10505</v>
      </c>
      <c r="D63" s="38">
        <v>4594</v>
      </c>
      <c r="E63" s="38">
        <v>0</v>
      </c>
      <c r="F63" s="48">
        <v>3894</v>
      </c>
      <c r="G63" s="38">
        <f>259+450</f>
        <v>709</v>
      </c>
      <c r="H63" s="38">
        <v>80</v>
      </c>
      <c r="I63" s="38">
        <f t="shared" si="9"/>
        <v>19782</v>
      </c>
    </row>
    <row r="64" spans="1:9" x14ac:dyDescent="0.2">
      <c r="A64" s="39">
        <v>1972</v>
      </c>
      <c r="B64" s="39"/>
      <c r="C64" s="38">
        <v>11058</v>
      </c>
      <c r="D64" s="38">
        <v>5227</v>
      </c>
      <c r="E64" s="38">
        <v>0</v>
      </c>
      <c r="F64" s="48">
        <v>3864</v>
      </c>
      <c r="G64" s="38">
        <f>337+964</f>
        <v>1301</v>
      </c>
      <c r="H64" s="38">
        <v>100</v>
      </c>
      <c r="I64" s="38">
        <f t="shared" si="9"/>
        <v>21550</v>
      </c>
    </row>
    <row r="65" spans="1:11" x14ac:dyDescent="0.2">
      <c r="A65" s="39">
        <v>1973</v>
      </c>
      <c r="B65" s="39"/>
      <c r="C65" s="38">
        <v>8907</v>
      </c>
      <c r="D65" s="38">
        <v>7714</v>
      </c>
      <c r="E65" s="38">
        <v>0</v>
      </c>
      <c r="F65" s="48">
        <v>2646</v>
      </c>
      <c r="G65" s="38">
        <v>717</v>
      </c>
      <c r="H65" s="38">
        <v>103</v>
      </c>
      <c r="I65" s="38">
        <f t="shared" si="9"/>
        <v>20087</v>
      </c>
    </row>
    <row r="66" spans="1:11" x14ac:dyDescent="0.2">
      <c r="A66" s="39">
        <v>1974</v>
      </c>
      <c r="B66" s="39"/>
      <c r="C66" s="38">
        <v>11998</v>
      </c>
      <c r="D66" s="38">
        <v>3932</v>
      </c>
      <c r="E66" s="38">
        <v>0</v>
      </c>
      <c r="F66" s="48">
        <v>2790</v>
      </c>
      <c r="G66" s="38">
        <f>75+841</f>
        <v>916</v>
      </c>
      <c r="H66" s="38">
        <v>114</v>
      </c>
      <c r="I66" s="38">
        <f t="shared" si="9"/>
        <v>19750</v>
      </c>
    </row>
    <row r="67" spans="1:11" x14ac:dyDescent="0.2">
      <c r="A67" s="39">
        <v>1975</v>
      </c>
      <c r="B67" s="39"/>
      <c r="C67" s="38">
        <v>11181</v>
      </c>
      <c r="D67" s="38">
        <v>6849</v>
      </c>
      <c r="E67" s="38">
        <v>0</v>
      </c>
      <c r="F67" s="48">
        <v>2795</v>
      </c>
      <c r="G67" s="38">
        <v>1083</v>
      </c>
      <c r="H67" s="38">
        <v>123</v>
      </c>
      <c r="I67" s="38">
        <f t="shared" si="9"/>
        <v>22031</v>
      </c>
    </row>
    <row r="68" spans="1:11" x14ac:dyDescent="0.2">
      <c r="A68" s="39">
        <v>1976</v>
      </c>
      <c r="B68" s="39"/>
      <c r="C68" s="38">
        <v>8932</v>
      </c>
      <c r="D68" s="38">
        <v>3175</v>
      </c>
      <c r="E68" s="38">
        <v>0</v>
      </c>
      <c r="F68" s="48">
        <v>4944</v>
      </c>
      <c r="G68" s="38">
        <f>499+517</f>
        <v>1016</v>
      </c>
      <c r="H68" s="38">
        <v>0</v>
      </c>
      <c r="I68" s="38">
        <f t="shared" si="9"/>
        <v>18067</v>
      </c>
    </row>
    <row r="69" spans="1:11" x14ac:dyDescent="0.2">
      <c r="A69" s="39">
        <v>1977</v>
      </c>
      <c r="B69" s="39"/>
      <c r="C69" s="38">
        <v>8052</v>
      </c>
      <c r="D69" s="38">
        <v>4750</v>
      </c>
      <c r="E69" s="38">
        <v>0</v>
      </c>
      <c r="F69" s="48">
        <v>4131</v>
      </c>
      <c r="G69" s="38">
        <v>590</v>
      </c>
      <c r="H69" s="38">
        <v>0</v>
      </c>
      <c r="I69" s="38">
        <f t="shared" si="9"/>
        <v>17523</v>
      </c>
    </row>
    <row r="70" spans="1:11" x14ac:dyDescent="0.2">
      <c r="A70" s="39">
        <v>1978</v>
      </c>
      <c r="B70" s="39"/>
      <c r="C70" s="38">
        <v>5986</v>
      </c>
      <c r="D70" s="38">
        <v>6490</v>
      </c>
      <c r="E70" s="38">
        <v>0</v>
      </c>
      <c r="F70" s="48">
        <v>4499</v>
      </c>
      <c r="G70" s="38">
        <f>267+985</f>
        <v>1252</v>
      </c>
      <c r="H70" s="38">
        <v>0</v>
      </c>
      <c r="I70" s="38">
        <f t="shared" si="9"/>
        <v>18227</v>
      </c>
    </row>
    <row r="71" spans="1:11" x14ac:dyDescent="0.2">
      <c r="A71" s="39">
        <v>1979</v>
      </c>
      <c r="B71" s="39"/>
      <c r="C71" s="38">
        <v>5518</v>
      </c>
      <c r="D71" s="38">
        <v>6802</v>
      </c>
      <c r="E71" s="38">
        <v>0</v>
      </c>
      <c r="F71" s="48">
        <v>4662</v>
      </c>
      <c r="G71" s="38">
        <f>1141+1197</f>
        <v>2338</v>
      </c>
      <c r="H71" s="38">
        <v>0</v>
      </c>
      <c r="I71" s="38">
        <f t="shared" si="9"/>
        <v>19320</v>
      </c>
    </row>
    <row r="72" spans="1:11" x14ac:dyDescent="0.2">
      <c r="A72" s="1">
        <v>1980</v>
      </c>
      <c r="C72" s="2">
        <v>7544</v>
      </c>
      <c r="D72" s="2">
        <v>7276</v>
      </c>
      <c r="E72" s="40">
        <v>0</v>
      </c>
      <c r="F72" s="49">
        <v>5198</v>
      </c>
      <c r="G72" s="2">
        <f>869+1260</f>
        <v>2129</v>
      </c>
      <c r="H72" s="38">
        <v>0</v>
      </c>
      <c r="I72" s="38">
        <f t="shared" si="9"/>
        <v>22147</v>
      </c>
    </row>
    <row r="73" spans="1:11" x14ac:dyDescent="0.2">
      <c r="A73" s="1">
        <v>1981</v>
      </c>
      <c r="C73" s="2">
        <v>9501</v>
      </c>
      <c r="D73" s="2">
        <v>6597</v>
      </c>
      <c r="E73" s="40">
        <v>3</v>
      </c>
      <c r="F73" s="49">
        <v>5168</v>
      </c>
      <c r="G73" s="2">
        <f>542+625</f>
        <v>1167</v>
      </c>
      <c r="H73" s="38">
        <v>0</v>
      </c>
      <c r="I73" s="38">
        <f t="shared" si="9"/>
        <v>22436</v>
      </c>
    </row>
    <row r="74" spans="1:11" x14ac:dyDescent="0.2">
      <c r="A74" s="1">
        <v>1982</v>
      </c>
      <c r="C74" s="2">
        <v>6367</v>
      </c>
      <c r="D74" s="2">
        <v>6208</v>
      </c>
      <c r="E74" s="40">
        <v>2317</v>
      </c>
      <c r="F74" s="49">
        <v>5472</v>
      </c>
      <c r="G74" s="2">
        <v>842</v>
      </c>
      <c r="H74" s="38">
        <v>0</v>
      </c>
      <c r="I74" s="38">
        <f t="shared" si="9"/>
        <v>21206</v>
      </c>
    </row>
    <row r="75" spans="1:11" x14ac:dyDescent="0.2">
      <c r="A75" s="1">
        <v>1983</v>
      </c>
      <c r="C75" s="2">
        <v>8083</v>
      </c>
      <c r="D75" s="2">
        <v>6374</v>
      </c>
      <c r="E75" s="40">
        <v>309</v>
      </c>
      <c r="F75" s="49">
        <v>4808</v>
      </c>
      <c r="G75" s="2">
        <f>9+276</f>
        <v>285</v>
      </c>
      <c r="H75" s="38">
        <v>0</v>
      </c>
      <c r="I75" s="38">
        <f t="shared" si="9"/>
        <v>19859</v>
      </c>
    </row>
    <row r="76" spans="1:11" x14ac:dyDescent="0.2">
      <c r="A76" s="1">
        <v>1984</v>
      </c>
      <c r="C76" s="2">
        <v>9758</v>
      </c>
      <c r="D76" s="2">
        <v>5736</v>
      </c>
      <c r="E76" s="40">
        <v>3018</v>
      </c>
      <c r="F76" s="49">
        <v>6009</v>
      </c>
      <c r="G76" s="2">
        <v>0</v>
      </c>
      <c r="H76" s="38">
        <v>0</v>
      </c>
      <c r="I76" s="38">
        <f t="shared" si="9"/>
        <v>24521</v>
      </c>
    </row>
    <row r="77" spans="1:11" x14ac:dyDescent="0.2">
      <c r="A77" s="1">
        <v>1985</v>
      </c>
      <c r="C77" s="2">
        <v>9099</v>
      </c>
      <c r="D77" s="2">
        <v>5493</v>
      </c>
      <c r="E77" s="40">
        <v>2360</v>
      </c>
      <c r="F77" s="49">
        <f>ROUND(6177.45,0)</f>
        <v>6177</v>
      </c>
      <c r="G77" s="2">
        <v>46</v>
      </c>
      <c r="H77" s="38">
        <v>0</v>
      </c>
      <c r="I77" s="38">
        <f t="shared" si="9"/>
        <v>23175</v>
      </c>
      <c r="K77" s="49"/>
    </row>
    <row r="78" spans="1:11" x14ac:dyDescent="0.2">
      <c r="A78" s="1">
        <v>1986</v>
      </c>
      <c r="C78" s="2">
        <v>6891</v>
      </c>
      <c r="D78" s="2">
        <v>7566</v>
      </c>
      <c r="E78" s="40">
        <v>2816</v>
      </c>
      <c r="F78" s="49">
        <f>ROUND(5007.54,0)</f>
        <v>5008</v>
      </c>
      <c r="G78" s="2">
        <v>0</v>
      </c>
      <c r="H78" s="38">
        <v>0</v>
      </c>
      <c r="I78" s="38">
        <f t="shared" si="9"/>
        <v>22281</v>
      </c>
      <c r="K78" s="49"/>
    </row>
    <row r="79" spans="1:11" x14ac:dyDescent="0.2">
      <c r="A79" s="1">
        <v>1987</v>
      </c>
      <c r="C79" s="2">
        <v>9122</v>
      </c>
      <c r="D79" s="2">
        <v>5798</v>
      </c>
      <c r="E79" s="40">
        <v>2726</v>
      </c>
      <c r="F79" s="49">
        <f>ROUND(5193.56,0)</f>
        <v>5194</v>
      </c>
      <c r="G79" s="2">
        <v>0</v>
      </c>
      <c r="H79" s="38">
        <v>0</v>
      </c>
      <c r="I79" s="38">
        <f t="shared" si="9"/>
        <v>22840</v>
      </c>
      <c r="K79" s="49"/>
    </row>
    <row r="80" spans="1:11" x14ac:dyDescent="0.2">
      <c r="A80" s="1">
        <v>1988</v>
      </c>
      <c r="C80" s="2">
        <v>8406</v>
      </c>
      <c r="D80" s="2">
        <v>6804</v>
      </c>
      <c r="E80" s="40">
        <v>3932</v>
      </c>
      <c r="F80" s="49">
        <f>ROUND(4917.25,0)</f>
        <v>4917</v>
      </c>
      <c r="G80" s="2">
        <v>0</v>
      </c>
      <c r="H80" s="38">
        <v>0</v>
      </c>
      <c r="I80" s="38">
        <f t="shared" si="9"/>
        <v>24059</v>
      </c>
      <c r="J80" s="41"/>
      <c r="K80" s="49"/>
    </row>
    <row r="81" spans="1:11" x14ac:dyDescent="0.2">
      <c r="A81" s="1">
        <v>1989</v>
      </c>
      <c r="C81" s="2">
        <v>9928</v>
      </c>
      <c r="D81" s="2">
        <v>3859</v>
      </c>
      <c r="E81" s="40">
        <v>4101</v>
      </c>
      <c r="F81" s="49">
        <f>ROUND(6063.78,0)</f>
        <v>6064</v>
      </c>
      <c r="G81" s="2">
        <v>0</v>
      </c>
      <c r="H81" s="38">
        <v>0</v>
      </c>
      <c r="I81" s="38">
        <f t="shared" si="9"/>
        <v>23952</v>
      </c>
      <c r="K81" s="49"/>
    </row>
    <row r="82" spans="1:11" x14ac:dyDescent="0.2">
      <c r="A82" s="1">
        <v>1990</v>
      </c>
      <c r="C82" s="2">
        <v>6175</v>
      </c>
      <c r="D82" s="2">
        <v>3192</v>
      </c>
      <c r="E82" s="41">
        <v>4365</v>
      </c>
      <c r="F82" s="50">
        <f>ROUND(5762.2,0)</f>
        <v>5762</v>
      </c>
      <c r="G82" s="2">
        <v>0</v>
      </c>
      <c r="H82" s="38">
        <v>0</v>
      </c>
      <c r="I82" s="38">
        <f t="shared" si="9"/>
        <v>19494</v>
      </c>
      <c r="K82" s="50"/>
    </row>
    <row r="83" spans="1:11" x14ac:dyDescent="0.2">
      <c r="A83" s="1">
        <v>1991</v>
      </c>
      <c r="C83" s="2">
        <v>3166</v>
      </c>
      <c r="D83" s="2">
        <v>5655</v>
      </c>
      <c r="E83" s="41">
        <v>2838</v>
      </c>
      <c r="F83" s="50">
        <f>ROUND(2713.79,0)</f>
        <v>2714</v>
      </c>
      <c r="G83" s="2">
        <f>495+2</f>
        <v>497</v>
      </c>
      <c r="H83" s="38">
        <v>0</v>
      </c>
      <c r="I83" s="38">
        <f t="shared" si="9"/>
        <v>14870</v>
      </c>
      <c r="K83" s="50"/>
    </row>
    <row r="84" spans="1:11" x14ac:dyDescent="0.2">
      <c r="A84" s="1">
        <v>1992</v>
      </c>
      <c r="C84" s="2">
        <v>1125</v>
      </c>
      <c r="D84" s="2">
        <v>9874</v>
      </c>
      <c r="E84" s="41">
        <v>3086</v>
      </c>
      <c r="F84" s="50">
        <f>ROUND(801.73,0)</f>
        <v>802</v>
      </c>
      <c r="G84" s="2">
        <v>1600</v>
      </c>
      <c r="H84" s="38">
        <v>0</v>
      </c>
      <c r="I84" s="38">
        <f t="shared" si="9"/>
        <v>16487</v>
      </c>
      <c r="K84" s="50"/>
    </row>
    <row r="85" spans="1:11" x14ac:dyDescent="0.2">
      <c r="A85" s="1">
        <v>1993</v>
      </c>
      <c r="C85" s="2">
        <v>2353</v>
      </c>
      <c r="D85" s="2">
        <v>8914</v>
      </c>
      <c r="E85" s="41">
        <v>1254</v>
      </c>
      <c r="F85" s="50">
        <f>ROUND(2438.124,0)</f>
        <v>2438</v>
      </c>
      <c r="G85" s="2">
        <f>2472+58</f>
        <v>2530</v>
      </c>
      <c r="H85" s="38">
        <v>0</v>
      </c>
      <c r="I85" s="38">
        <f t="shared" si="9"/>
        <v>17489</v>
      </c>
      <c r="K85" s="50"/>
    </row>
    <row r="86" spans="1:11" x14ac:dyDescent="0.2">
      <c r="A86" s="1">
        <v>1994</v>
      </c>
      <c r="C86" s="2">
        <v>5037</v>
      </c>
      <c r="D86" s="2">
        <v>7561</v>
      </c>
      <c r="E86" s="41">
        <v>3175</v>
      </c>
      <c r="F86" s="50">
        <f>ROUND(2713.713,0)</f>
        <v>2714</v>
      </c>
      <c r="G86" s="2">
        <v>503</v>
      </c>
      <c r="H86" s="38">
        <v>0</v>
      </c>
      <c r="I86" s="38">
        <f t="shared" si="9"/>
        <v>18990</v>
      </c>
      <c r="K86" s="50"/>
    </row>
    <row r="87" spans="1:11" x14ac:dyDescent="0.2">
      <c r="A87" s="1">
        <v>1995</v>
      </c>
      <c r="C87" s="2">
        <v>1649</v>
      </c>
      <c r="D87" s="2">
        <v>9042</v>
      </c>
      <c r="E87" s="41">
        <v>2169</v>
      </c>
      <c r="F87" s="50">
        <f>ROUND(2605.648,0)</f>
        <v>2606</v>
      </c>
      <c r="G87" s="2">
        <f>2585+9</f>
        <v>2594</v>
      </c>
      <c r="H87" s="38">
        <v>0</v>
      </c>
      <c r="I87" s="38">
        <f t="shared" si="9"/>
        <v>18060</v>
      </c>
      <c r="K87" s="50"/>
    </row>
    <row r="88" spans="1:11" x14ac:dyDescent="0.2">
      <c r="A88" s="1">
        <v>1996</v>
      </c>
      <c r="C88" s="2">
        <v>4401</v>
      </c>
      <c r="D88" s="2">
        <v>7926</v>
      </c>
      <c r="E88" s="41">
        <v>2789</v>
      </c>
      <c r="F88" s="50">
        <f>ROUND(2773.516,0)</f>
        <v>2774</v>
      </c>
      <c r="G88" s="2">
        <v>1599</v>
      </c>
      <c r="H88" s="38">
        <v>0</v>
      </c>
      <c r="I88" s="38">
        <f t="shared" si="9"/>
        <v>19489</v>
      </c>
      <c r="K88" s="50"/>
    </row>
    <row r="89" spans="1:11" x14ac:dyDescent="0.2">
      <c r="A89" s="1">
        <v>1997</v>
      </c>
      <c r="C89" s="2">
        <v>7109</v>
      </c>
      <c r="D89" s="2">
        <v>7052</v>
      </c>
      <c r="E89" s="41">
        <v>213</v>
      </c>
      <c r="F89" s="50">
        <f>ROUND(3451.969,0)</f>
        <v>3452</v>
      </c>
      <c r="G89" s="2">
        <v>2025</v>
      </c>
      <c r="H89" s="38">
        <v>0</v>
      </c>
      <c r="I89" s="38">
        <f t="shared" si="9"/>
        <v>19851</v>
      </c>
      <c r="K89" s="50"/>
    </row>
    <row r="90" spans="1:11" x14ac:dyDescent="0.2">
      <c r="A90" s="1">
        <v>1998</v>
      </c>
      <c r="C90" s="2">
        <v>4352</v>
      </c>
      <c r="D90" s="2">
        <v>8069</v>
      </c>
      <c r="E90" s="41">
        <v>802</v>
      </c>
      <c r="F90" s="50">
        <f>ROUND(4311.992,0)</f>
        <v>4312</v>
      </c>
      <c r="G90" s="2">
        <f>1025+8</f>
        <v>1033</v>
      </c>
      <c r="H90" s="38">
        <v>0</v>
      </c>
      <c r="I90" s="38">
        <f t="shared" ref="I90:I105" si="10">SUM(C90:H90)</f>
        <v>18568</v>
      </c>
      <c r="K90" s="50"/>
    </row>
    <row r="91" spans="1:11" x14ac:dyDescent="0.2">
      <c r="A91" s="1">
        <v>1999</v>
      </c>
      <c r="C91" s="2">
        <v>7038</v>
      </c>
      <c r="D91" s="2">
        <v>6420</v>
      </c>
      <c r="E91" s="41">
        <v>3955</v>
      </c>
      <c r="F91" s="50">
        <f>ROUND(1620.516,0)</f>
        <v>1621</v>
      </c>
      <c r="G91" s="2">
        <f>1578+91</f>
        <v>1669</v>
      </c>
      <c r="H91" s="38">
        <v>0</v>
      </c>
      <c r="I91" s="38">
        <f t="shared" si="10"/>
        <v>20703</v>
      </c>
      <c r="K91" s="50"/>
    </row>
    <row r="92" spans="1:11" x14ac:dyDescent="0.2">
      <c r="A92" s="1">
        <v>2000</v>
      </c>
      <c r="C92" s="2">
        <v>5836</v>
      </c>
      <c r="D92" s="2">
        <v>6779</v>
      </c>
      <c r="E92" s="41">
        <v>4579</v>
      </c>
      <c r="F92" s="50">
        <f>ROUND(2674.864,0)</f>
        <v>2675</v>
      </c>
      <c r="G92" s="2">
        <f>1621+77</f>
        <v>1698</v>
      </c>
      <c r="H92" s="38">
        <v>0</v>
      </c>
      <c r="I92" s="38">
        <f t="shared" si="10"/>
        <v>21567</v>
      </c>
      <c r="K92" s="50"/>
    </row>
    <row r="93" spans="1:11" x14ac:dyDescent="0.2">
      <c r="A93" s="1">
        <v>2001</v>
      </c>
      <c r="C93" s="2">
        <v>6292</v>
      </c>
      <c r="D93" s="2">
        <v>5727</v>
      </c>
      <c r="E93" s="41">
        <v>4030</v>
      </c>
      <c r="F93" s="50">
        <f>ROUND(905.054,0)</f>
        <v>905</v>
      </c>
      <c r="G93" s="2">
        <f>1910+96</f>
        <v>2006</v>
      </c>
      <c r="H93" s="38">
        <v>0</v>
      </c>
      <c r="I93" s="38">
        <f t="shared" si="10"/>
        <v>18960</v>
      </c>
      <c r="K93" s="50"/>
    </row>
    <row r="94" spans="1:11" x14ac:dyDescent="0.2">
      <c r="A94" s="1">
        <v>2002</v>
      </c>
      <c r="C94" s="2">
        <v>7127</v>
      </c>
      <c r="D94" s="2">
        <v>5951</v>
      </c>
      <c r="E94" s="41">
        <v>3721</v>
      </c>
      <c r="F94" s="50">
        <f>ROUND(1977.465,0)</f>
        <v>1977</v>
      </c>
      <c r="G94" s="2">
        <v>1157</v>
      </c>
      <c r="H94" s="38">
        <v>0</v>
      </c>
      <c r="I94" s="38">
        <f t="shared" si="10"/>
        <v>19933</v>
      </c>
      <c r="K94" s="50"/>
    </row>
    <row r="95" spans="1:11" x14ac:dyDescent="0.2">
      <c r="A95" s="1">
        <v>2003</v>
      </c>
      <c r="C95" s="2">
        <v>4912</v>
      </c>
      <c r="D95" s="2">
        <v>6722</v>
      </c>
      <c r="E95" s="41">
        <v>5546</v>
      </c>
      <c r="F95" s="50">
        <f>ROUND(2897.809,0)</f>
        <v>2898</v>
      </c>
      <c r="G95" s="2">
        <v>316</v>
      </c>
      <c r="H95" s="38">
        <v>0</v>
      </c>
      <c r="I95" s="38">
        <f t="shared" si="10"/>
        <v>20394</v>
      </c>
      <c r="K95" s="50"/>
    </row>
    <row r="96" spans="1:11" x14ac:dyDescent="0.2">
      <c r="A96" s="1">
        <v>2004</v>
      </c>
      <c r="C96" s="2">
        <v>6833</v>
      </c>
      <c r="D96" s="2">
        <v>6118</v>
      </c>
      <c r="E96" s="41">
        <v>4773</v>
      </c>
      <c r="F96" s="50">
        <f>ROUND(2390.89,0)</f>
        <v>2391</v>
      </c>
      <c r="G96" s="2">
        <v>2183</v>
      </c>
      <c r="H96" s="38">
        <v>0</v>
      </c>
      <c r="I96" s="38">
        <f t="shared" si="10"/>
        <v>22298</v>
      </c>
      <c r="K96" s="50"/>
    </row>
    <row r="97" spans="1:11" x14ac:dyDescent="0.2">
      <c r="A97" s="1">
        <v>2005</v>
      </c>
      <c r="C97" s="2">
        <v>7115</v>
      </c>
      <c r="D97" s="2">
        <v>1293</v>
      </c>
      <c r="E97" s="41">
        <v>3716</v>
      </c>
      <c r="F97" s="50">
        <f>ROUND(5379.317,0)</f>
        <v>5379</v>
      </c>
      <c r="G97" s="2">
        <v>2046</v>
      </c>
      <c r="H97" s="38">
        <v>0</v>
      </c>
      <c r="I97" s="38">
        <f t="shared" si="10"/>
        <v>19549</v>
      </c>
      <c r="K97" s="50"/>
    </row>
    <row r="98" spans="1:11" x14ac:dyDescent="0.2">
      <c r="A98" s="1">
        <v>2006</v>
      </c>
      <c r="C98" s="2">
        <v>5398</v>
      </c>
      <c r="D98" s="2">
        <v>2233</v>
      </c>
      <c r="E98" s="41">
        <v>4102</v>
      </c>
      <c r="F98" s="50">
        <f>ROUND(5348.343,0)</f>
        <v>5348</v>
      </c>
      <c r="G98" s="2">
        <v>1068</v>
      </c>
      <c r="H98" s="38">
        <v>0</v>
      </c>
      <c r="I98" s="38">
        <f t="shared" si="10"/>
        <v>18149</v>
      </c>
      <c r="K98" s="50"/>
    </row>
    <row r="99" spans="1:11" x14ac:dyDescent="0.2">
      <c r="A99" s="1">
        <v>2007</v>
      </c>
      <c r="C99" s="2">
        <v>6699</v>
      </c>
      <c r="D99" s="2">
        <f>ROUND(1999.77,0)</f>
        <v>2000</v>
      </c>
      <c r="E99" s="41">
        <f>ROUND(3520.78,0)</f>
        <v>3521</v>
      </c>
      <c r="F99" s="50">
        <f>ROUND(5442.82,0)</f>
        <v>5443</v>
      </c>
      <c r="G99" s="2">
        <v>1263</v>
      </c>
      <c r="H99" s="38">
        <v>0</v>
      </c>
      <c r="I99" s="38">
        <f t="shared" si="10"/>
        <v>18926</v>
      </c>
      <c r="K99" s="50"/>
    </row>
    <row r="100" spans="1:11" x14ac:dyDescent="0.2">
      <c r="A100" s="1">
        <v>2008</v>
      </c>
      <c r="C100" s="2">
        <v>5659</v>
      </c>
      <c r="D100" s="2">
        <v>2711</v>
      </c>
      <c r="E100" s="41">
        <v>3481</v>
      </c>
      <c r="F100" s="50">
        <f>ROUND(5516.721,0)</f>
        <v>5517</v>
      </c>
      <c r="G100" s="2">
        <v>986</v>
      </c>
      <c r="H100" s="38">
        <v>0</v>
      </c>
      <c r="I100" s="38">
        <f t="shared" si="10"/>
        <v>18354</v>
      </c>
      <c r="K100" s="50"/>
    </row>
    <row r="101" spans="1:11" x14ac:dyDescent="0.2">
      <c r="A101" s="1">
        <v>2009</v>
      </c>
      <c r="C101" s="2">
        <v>5358</v>
      </c>
      <c r="D101" s="2">
        <v>3037</v>
      </c>
      <c r="E101" s="41">
        <v>2480</v>
      </c>
      <c r="F101" s="50">
        <f>ROUND(5714.453,0)</f>
        <v>5714</v>
      </c>
      <c r="G101" s="2">
        <v>819</v>
      </c>
      <c r="H101" s="38">
        <v>0</v>
      </c>
      <c r="I101" s="38">
        <f t="shared" si="10"/>
        <v>17408</v>
      </c>
      <c r="K101" s="50"/>
    </row>
    <row r="102" spans="1:11" x14ac:dyDescent="0.2">
      <c r="A102" s="1">
        <v>2010</v>
      </c>
      <c r="B102" s="65" t="s">
        <v>33</v>
      </c>
      <c r="C102" s="2">
        <f>ROUND(5993.95,0)</f>
        <v>5994</v>
      </c>
      <c r="D102" s="2">
        <f>ROUND(3160.84,0)</f>
        <v>3161</v>
      </c>
      <c r="E102" s="41">
        <f>ROUND(1685.17,0)</f>
        <v>1685</v>
      </c>
      <c r="F102" s="50">
        <f>ROUND(5161.982,0)</f>
        <v>5162</v>
      </c>
      <c r="G102" s="2">
        <f>ROUND(496.21,0)</f>
        <v>496</v>
      </c>
      <c r="H102" s="38">
        <v>0</v>
      </c>
      <c r="I102" s="38">
        <f t="shared" si="10"/>
        <v>16498</v>
      </c>
      <c r="K102" s="50"/>
    </row>
    <row r="103" spans="1:11" x14ac:dyDescent="0.2">
      <c r="A103" s="1">
        <v>2011</v>
      </c>
      <c r="B103" s="65" t="s">
        <v>33</v>
      </c>
      <c r="C103" s="2">
        <f>ROUND(6092.05,0)</f>
        <v>6092</v>
      </c>
      <c r="D103" s="2">
        <f>ROUND(3428.41,0)</f>
        <v>3428</v>
      </c>
      <c r="E103" s="41">
        <f>ROUND(1424.15,0)</f>
        <v>1424</v>
      </c>
      <c r="F103" s="50">
        <f>ROUND(4816.92,0)</f>
        <v>4817</v>
      </c>
      <c r="G103" s="2">
        <f>ROUND(733.18,0)</f>
        <v>733</v>
      </c>
      <c r="H103" s="38">
        <v>0</v>
      </c>
      <c r="I103" s="38">
        <f t="shared" si="10"/>
        <v>16494</v>
      </c>
      <c r="K103" s="50"/>
    </row>
    <row r="104" spans="1:11" x14ac:dyDescent="0.2">
      <c r="A104" s="1">
        <v>2012</v>
      </c>
      <c r="B104" s="65" t="s">
        <v>33</v>
      </c>
      <c r="C104" s="2">
        <f>ROUND(4690.43,0)</f>
        <v>4690</v>
      </c>
      <c r="D104" s="2">
        <f>ROUND(3540.2,0)</f>
        <v>3540</v>
      </c>
      <c r="E104" s="41">
        <f>ROUND(2795.15,0)</f>
        <v>2795</v>
      </c>
      <c r="F104" s="50">
        <f>ROUND(5600.566,0)</f>
        <v>5601</v>
      </c>
      <c r="G104" s="2">
        <f>ROUND(754.65,0)</f>
        <v>755</v>
      </c>
      <c r="H104" s="38">
        <v>0</v>
      </c>
      <c r="I104" s="38">
        <f t="shared" si="10"/>
        <v>17381</v>
      </c>
      <c r="K104" s="50"/>
    </row>
    <row r="105" spans="1:11" x14ac:dyDescent="0.2">
      <c r="A105" s="1">
        <v>2013</v>
      </c>
      <c r="B105" s="65" t="s">
        <v>33</v>
      </c>
      <c r="C105" s="2">
        <f>ROUND(6052.79,0)</f>
        <v>6053</v>
      </c>
      <c r="D105" s="2">
        <f>ROUND(2179.08,0)</f>
        <v>2179</v>
      </c>
      <c r="E105" s="41">
        <f>ROUND(3313.59,0)</f>
        <v>3314</v>
      </c>
      <c r="F105" s="50">
        <f>ROUND(5490.853,0)</f>
        <v>5491</v>
      </c>
      <c r="G105" s="2">
        <f>ROUND(672.87,0)</f>
        <v>673</v>
      </c>
      <c r="H105" s="38">
        <v>0</v>
      </c>
      <c r="I105" s="38">
        <f t="shared" si="10"/>
        <v>17710</v>
      </c>
      <c r="K105" s="50"/>
    </row>
    <row r="106" spans="1:11" x14ac:dyDescent="0.2">
      <c r="A106" s="1">
        <v>2014</v>
      </c>
      <c r="B106" s="65" t="s">
        <v>33</v>
      </c>
      <c r="C106" s="2">
        <f>ROUND(5099.42,0)</f>
        <v>5099</v>
      </c>
      <c r="D106" s="2">
        <f>ROUND(2946.86,0)</f>
        <v>2947</v>
      </c>
      <c r="E106" s="41">
        <f>ROUND(3219.98,0)</f>
        <v>3220</v>
      </c>
      <c r="F106" s="50">
        <f>ROUND(4564.63,0)</f>
        <v>4565</v>
      </c>
      <c r="G106" s="2">
        <f>ROUND(629.01,0)</f>
        <v>629</v>
      </c>
      <c r="H106" s="38">
        <v>0</v>
      </c>
      <c r="I106" s="38">
        <f t="shared" ref="I106:I111" si="11">SUM(C106:H106)</f>
        <v>16460</v>
      </c>
      <c r="K106" s="50"/>
    </row>
    <row r="107" spans="1:11" x14ac:dyDescent="0.2">
      <c r="A107" s="1">
        <v>2015</v>
      </c>
      <c r="B107" s="65" t="s">
        <v>33</v>
      </c>
      <c r="C107" s="2">
        <f>ROUND(4847.95,0)</f>
        <v>4848</v>
      </c>
      <c r="D107" s="2">
        <f>ROUND(1298.39,0)</f>
        <v>1298</v>
      </c>
      <c r="E107" s="41">
        <f>ROUND(2324.03,0)</f>
        <v>2324</v>
      </c>
      <c r="F107" s="50">
        <f>ROUND(3587.22,0)</f>
        <v>3587</v>
      </c>
      <c r="G107" s="2">
        <f>ROUND(2318.23,0)</f>
        <v>2318</v>
      </c>
      <c r="H107" s="38">
        <v>0</v>
      </c>
      <c r="I107" s="38">
        <f t="shared" si="11"/>
        <v>14375</v>
      </c>
      <c r="K107" s="50"/>
    </row>
    <row r="108" spans="1:11" x14ac:dyDescent="0.2">
      <c r="A108" s="1">
        <v>2016</v>
      </c>
      <c r="B108" s="65" t="s">
        <v>33</v>
      </c>
      <c r="C108" s="2">
        <f>ROUND(2634.24,0)</f>
        <v>2634</v>
      </c>
      <c r="D108" s="2">
        <f>ROUND(1848.5,0)</f>
        <v>1849</v>
      </c>
      <c r="E108" s="41">
        <f>ROUND(2669,0)</f>
        <v>2669</v>
      </c>
      <c r="F108" s="50">
        <f>ROUND(3704.04,0)</f>
        <v>3704</v>
      </c>
      <c r="G108" s="2">
        <f>ROUND(2897.07,0)</f>
        <v>2897</v>
      </c>
      <c r="H108" s="38">
        <v>0</v>
      </c>
      <c r="I108" s="38">
        <f t="shared" si="11"/>
        <v>13753</v>
      </c>
      <c r="K108" s="50"/>
    </row>
    <row r="109" spans="1:11" x14ac:dyDescent="0.2">
      <c r="A109" s="1">
        <v>2017</v>
      </c>
      <c r="B109" s="65" t="s">
        <v>33</v>
      </c>
      <c r="C109" s="2">
        <f>ROUND(2188.31,0)</f>
        <v>2188</v>
      </c>
      <c r="D109" s="2">
        <f>ROUND(3647.19,0)</f>
        <v>3647</v>
      </c>
      <c r="E109" s="41">
        <f>ROUND(1397.34,0)</f>
        <v>1397</v>
      </c>
      <c r="F109" s="50">
        <f>ROUND(3824.65,0)</f>
        <v>3825</v>
      </c>
      <c r="G109" s="2">
        <f>ROUND(2593.31,0)</f>
        <v>2593</v>
      </c>
      <c r="H109" s="38">
        <v>0</v>
      </c>
      <c r="I109" s="38">
        <f t="shared" si="11"/>
        <v>13650</v>
      </c>
      <c r="K109" s="50"/>
    </row>
    <row r="110" spans="1:11" x14ac:dyDescent="0.2">
      <c r="A110" s="1">
        <v>2018</v>
      </c>
      <c r="B110" s="65" t="s">
        <v>33</v>
      </c>
      <c r="C110" s="2">
        <v>2716.2</v>
      </c>
      <c r="D110" s="2">
        <v>1876.09</v>
      </c>
      <c r="E110" s="41">
        <v>2529.0300000000002</v>
      </c>
      <c r="F110" s="50">
        <v>3316.93</v>
      </c>
      <c r="G110" s="2">
        <v>3095.86</v>
      </c>
      <c r="H110" s="38">
        <v>0</v>
      </c>
      <c r="I110" s="38">
        <f t="shared" si="11"/>
        <v>13534.11</v>
      </c>
      <c r="K110" s="50"/>
    </row>
    <row r="111" spans="1:11" x14ac:dyDescent="0.2">
      <c r="A111" s="1">
        <v>2019</v>
      </c>
      <c r="B111" s="65" t="s">
        <v>33</v>
      </c>
      <c r="C111" s="2">
        <v>1371.92</v>
      </c>
      <c r="D111" s="2">
        <v>2588.39</v>
      </c>
      <c r="E111" s="41">
        <v>3285.84</v>
      </c>
      <c r="F111" s="50">
        <v>3322.78</v>
      </c>
      <c r="G111" s="2">
        <v>2509.17</v>
      </c>
      <c r="H111" s="38">
        <v>0</v>
      </c>
      <c r="I111" s="38">
        <f t="shared" si="11"/>
        <v>13078.1</v>
      </c>
      <c r="K111" s="50"/>
    </row>
    <row r="112" spans="1:11" x14ac:dyDescent="0.2">
      <c r="A112"/>
      <c r="B112"/>
      <c r="C112"/>
      <c r="D112"/>
      <c r="E112"/>
      <c r="F112" s="51"/>
      <c r="G112"/>
    </row>
    <row r="113" spans="1:2" x14ac:dyDescent="0.2">
      <c r="A113" s="42" t="s">
        <v>21</v>
      </c>
      <c r="B113" s="42"/>
    </row>
    <row r="114" spans="1:2" x14ac:dyDescent="0.2">
      <c r="A114" s="42" t="s">
        <v>22</v>
      </c>
      <c r="B114" s="42"/>
    </row>
    <row r="115" spans="1:2" x14ac:dyDescent="0.2">
      <c r="A115" s="42" t="s">
        <v>29</v>
      </c>
      <c r="B115" s="42"/>
    </row>
    <row r="116" spans="1:2" x14ac:dyDescent="0.2">
      <c r="A116" s="43" t="s">
        <v>24</v>
      </c>
      <c r="B116" s="43"/>
    </row>
    <row r="117" spans="1:2" x14ac:dyDescent="0.2">
      <c r="A117" s="43" t="s">
        <v>25</v>
      </c>
      <c r="B117" s="43"/>
    </row>
    <row r="118" spans="1:2" x14ac:dyDescent="0.2">
      <c r="A118" s="43" t="s">
        <v>26</v>
      </c>
      <c r="B118" s="43"/>
    </row>
    <row r="119" spans="1:2" x14ac:dyDescent="0.2">
      <c r="A119" s="43" t="s">
        <v>27</v>
      </c>
      <c r="B119" s="43"/>
    </row>
    <row r="120" spans="1:2" x14ac:dyDescent="0.2">
      <c r="A120" s="43" t="s">
        <v>23</v>
      </c>
      <c r="B120" s="43"/>
    </row>
    <row r="121" spans="1:2" x14ac:dyDescent="0.2">
      <c r="A121" s="43" t="s">
        <v>28</v>
      </c>
      <c r="B121" s="43"/>
    </row>
    <row r="122" spans="1:2" x14ac:dyDescent="0.2">
      <c r="A122" s="43" t="s">
        <v>32</v>
      </c>
    </row>
    <row r="123" spans="1:2" x14ac:dyDescent="0.2">
      <c r="A123" s="43" t="s">
        <v>35</v>
      </c>
    </row>
    <row r="124" spans="1:2" x14ac:dyDescent="0.2">
      <c r="A124" s="43" t="s">
        <v>34</v>
      </c>
    </row>
    <row r="125" spans="1:2" x14ac:dyDescent="0.2">
      <c r="A125" s="43" t="s">
        <v>36</v>
      </c>
    </row>
    <row r="126" spans="1:2" x14ac:dyDescent="0.2">
      <c r="A126" s="43" t="s">
        <v>37</v>
      </c>
    </row>
  </sheetData>
  <mergeCells count="2">
    <mergeCell ref="C2:D2"/>
    <mergeCell ref="E2:H2"/>
  </mergeCells>
  <printOptions horizontalCentered="1"/>
  <pageMargins left="0.25" right="0.25" top="1" bottom="1" header="0.5" footer="0.5"/>
  <pageSetup scale="77" fitToWidth="2" fitToHeight="2" orientation="portrait" r:id="rId1"/>
  <headerFooter alignWithMargins="0">
    <oddHeader>&amp;L***For Internal Use Only***</oddHeader>
    <oddFooter>&amp;L&amp;8&amp;Z&amp;F&amp;A&amp;R&amp;"Arial,Italic"&amp;8&amp;D &amp;T</oddFooter>
  </headerFooter>
  <rowBreaks count="2" manualBreakCount="2">
    <brk id="56" max="16383" man="1"/>
    <brk id="70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7CE7E8A2EE5F4F92F9024769FE3AF2" ma:contentTypeVersion="4" ma:contentTypeDescription="Create a new document." ma:contentTypeScope="" ma:versionID="60ca57429c1e82cbebab11b3983a1680">
  <xsd:schema xmlns:xsd="http://www.w3.org/2001/XMLSchema" xmlns:xs="http://www.w3.org/2001/XMLSchema" xmlns:p="http://schemas.microsoft.com/office/2006/metadata/properties" xmlns:ns2="c0abe6e7-456a-461e-a55e-430af7f95f54" xmlns:ns3="1f45f085-5056-47c5-83a1-5ebf9a8b6b77" targetNamespace="http://schemas.microsoft.com/office/2006/metadata/properties" ma:root="true" ma:fieldsID="526e4377e77dd0256ec3678f131b901b" ns2:_="" ns3:_="">
    <xsd:import namespace="c0abe6e7-456a-461e-a55e-430af7f95f54"/>
    <xsd:import namespace="1f45f085-5056-47c5-83a1-5ebf9a8b6b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abe6e7-456a-461e-a55e-430af7f95f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45f085-5056-47c5-83a1-5ebf9a8b6b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F5B5E3-C3FD-405D-B3A5-588C68D0F373}"/>
</file>

<file path=customXml/itemProps2.xml><?xml version="1.0" encoding="utf-8"?>
<ds:datastoreItem xmlns:ds="http://schemas.openxmlformats.org/officeDocument/2006/customXml" ds:itemID="{B17E9A8B-2185-478D-A141-355BB77A9F77}"/>
</file>

<file path=customXml/itemProps3.xml><?xml version="1.0" encoding="utf-8"?>
<ds:datastoreItem xmlns:ds="http://schemas.openxmlformats.org/officeDocument/2006/customXml" ds:itemID="{AAF550E5-5A82-41C0-8EC2-1EEDB272CA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CORRECTED.HIST.ROUNDED.CY.PRO</vt:lpstr>
      <vt:lpstr>CORRECTED.HIST.ROUNDED.CY.PRO!Print_Titles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Kern</dc:creator>
  <cp:lastModifiedBy>Monica Noeng</cp:lastModifiedBy>
  <cp:lastPrinted>2020-01-15T17:34:07Z</cp:lastPrinted>
  <dcterms:created xsi:type="dcterms:W3CDTF">2013-09-26T20:37:11Z</dcterms:created>
  <dcterms:modified xsi:type="dcterms:W3CDTF">2020-01-15T17:45:54Z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0x010100747CE7E8A2EE5F4F92F9024769FE3AF2</vt:lpwstr>
  </property>
</Properties>
</file>